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nternal_projects\active\Meltome\Meltome_analyzed_data\body_fluids\P014818_Milk_24fr_hSAX_QE+\"/>
    </mc:Choice>
  </mc:AlternateContent>
  <bookViews>
    <workbookView xWindow="0" yWindow="0" windowWidth="25200" windowHeight="113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1871" i="1" l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<sst xmlns="http://schemas.openxmlformats.org/spreadsheetml/2006/main" count="14930" uniqueCount="9282">
  <si>
    <t>Protein_ID</t>
  </si>
  <si>
    <t>plot</t>
  </si>
  <si>
    <t>gene_name</t>
  </si>
  <si>
    <t>uniprot_ac</t>
  </si>
  <si>
    <t>auc</t>
  </si>
  <si>
    <t>plot_link</t>
  </si>
  <si>
    <t>A0AVT1_UBA6</t>
  </si>
  <si>
    <t>A0M8Q6_IGLC7</t>
  </si>
  <si>
    <t>A0MZ66_KIAA1598</t>
  </si>
  <si>
    <t>A2A2D0_STMN1</t>
  </si>
  <si>
    <t>A2A2U4_NQO2</t>
  </si>
  <si>
    <t>A2A2V1_PRNP</t>
  </si>
  <si>
    <t>A2A2V4_VEGFA</t>
  </si>
  <si>
    <t>A2IBA6_LIPH</t>
  </si>
  <si>
    <t>A3KFI5_NBL1</t>
  </si>
  <si>
    <t>A6NF51_BPNT1</t>
  </si>
  <si>
    <t>A6NG51_SPTAN1</t>
  </si>
  <si>
    <t>A6NJ16_IGHV4OR15-8</t>
  </si>
  <si>
    <t>A6NJA2_USP14</t>
  </si>
  <si>
    <t>A6NJH9_EIF1AY</t>
  </si>
  <si>
    <t>A6NJU6_NUDT5</t>
  </si>
  <si>
    <t>A6NKB8_RNPEP</t>
  </si>
  <si>
    <t>A6NMQ3_ENSA</t>
  </si>
  <si>
    <t>A6NNI4_CD9</t>
  </si>
  <si>
    <t>A6PVX3_PSMD4</t>
  </si>
  <si>
    <t>A6QRH7_FAM3A</t>
  </si>
  <si>
    <t>A8CZ64_MAPK1</t>
  </si>
  <si>
    <t>A8MTF8_FAM3B</t>
  </si>
  <si>
    <t>A8MU39_PPP5C</t>
  </si>
  <si>
    <t>A8MU44_HOOK1</t>
  </si>
  <si>
    <t>A8MUB1_TUBA4A</t>
  </si>
  <si>
    <t>A8MUD9_RPL7</t>
  </si>
  <si>
    <t>A8MVQ3_CARS</t>
  </si>
  <si>
    <t>A8MVZ9_ALDOC</t>
  </si>
  <si>
    <t>A8MX94_GSTP1</t>
  </si>
  <si>
    <t>A8MXB9_SUMF2</t>
  </si>
  <si>
    <t>A8MXL6_SEC13</t>
  </si>
  <si>
    <t>A8MZ87_KLC2</t>
  </si>
  <si>
    <t>B0AZV0_STRAP</t>
  </si>
  <si>
    <t>B0QY51_CCDC134</t>
  </si>
  <si>
    <t>B0QYF0_BAIAP2L2</t>
  </si>
  <si>
    <t>B0S7V7_CCHCR1</t>
  </si>
  <si>
    <t>B0S7Z5_HLA-C</t>
  </si>
  <si>
    <t>B0UY14_HLA-C</t>
  </si>
  <si>
    <t>B0V043_VARS</t>
  </si>
  <si>
    <t>B0V0T3_PSMB9</t>
  </si>
  <si>
    <t>B0V1E4_HLA-DPB1</t>
  </si>
  <si>
    <t>B0YIW2_APOC3</t>
  </si>
  <si>
    <t>B0YIW6_ARCN1</t>
  </si>
  <si>
    <t>B0YJC4_VIM</t>
  </si>
  <si>
    <t>B1AJY5_PSMD10</t>
  </si>
  <si>
    <t>B1AK87_CAPZB</t>
  </si>
  <si>
    <t>B1AKD8_CROCC</t>
  </si>
  <si>
    <t>B1AKZ5_PEA15</t>
  </si>
  <si>
    <t>B1ALD8_POSTN</t>
  </si>
  <si>
    <t>B1ALD9_POSTN</t>
  </si>
  <si>
    <t>B1AN99_PRSS3</t>
  </si>
  <si>
    <t>B1ARP7_C1orf123</t>
  </si>
  <si>
    <t>B1AVQ5_MUC1</t>
  </si>
  <si>
    <t>B2R9R8_KCTD14</t>
  </si>
  <si>
    <t>B3KRD8_SEC14L2</t>
  </si>
  <si>
    <t>B3KUE5_PLTP</t>
  </si>
  <si>
    <t>B3KUK2_SOD2</t>
  </si>
  <si>
    <t>B3KVN2_FNTA</t>
  </si>
  <si>
    <t>B3KW71_QDPR</t>
  </si>
  <si>
    <t>B3KWE1_HARS</t>
  </si>
  <si>
    <t>B4DDD6_DBNL</t>
  </si>
  <si>
    <t>B4DE40_SMS</t>
  </si>
  <si>
    <t>B4DEK4_SNX2</t>
  </si>
  <si>
    <t>B4DEM7_CCT8</t>
  </si>
  <si>
    <t>B4DF51_CD33</t>
  </si>
  <si>
    <t>B4DFC9_NAPG</t>
  </si>
  <si>
    <t>B4DIT7_TGM2</t>
  </si>
  <si>
    <t>B4DIU3_PADI2</t>
  </si>
  <si>
    <t>B4DJA5_RAB5A</t>
  </si>
  <si>
    <t>B4DJS7_SNX6</t>
  </si>
  <si>
    <t>B4DKL4_LSR</t>
  </si>
  <si>
    <t>B4DLC0_PCBP2</t>
  </si>
  <si>
    <t>B4DN22_STC1</t>
  </si>
  <si>
    <t>B4DN45_MAT2A</t>
  </si>
  <si>
    <t>B4DNW0_ACY1</t>
  </si>
  <si>
    <t>B4DNW5_SFTPA1</t>
  </si>
  <si>
    <t>B4DP17_CNBP</t>
  </si>
  <si>
    <t>B4DPG6_GGT6</t>
  </si>
  <si>
    <t>B4DQ68_CPPED1</t>
  </si>
  <si>
    <t>B4DQI4_ABHD14B</t>
  </si>
  <si>
    <t>B4DQJ8_PGD</t>
  </si>
  <si>
    <t>B4DQR1_CARKD</t>
  </si>
  <si>
    <t>B4DR52_HIST2H2BF</t>
  </si>
  <si>
    <t>B4DR94_YKT6</t>
  </si>
  <si>
    <t>B4DRN8_ZDHHC20</t>
  </si>
  <si>
    <t>B4DSV9_ABI3BP</t>
  </si>
  <si>
    <t>B4DT77_ANXA7</t>
  </si>
  <si>
    <t>B4DUC8_MTAP</t>
  </si>
  <si>
    <t>B4DUI3_EIF3J</t>
  </si>
  <si>
    <t>B4DUR8_CCT3</t>
  </si>
  <si>
    <t>B4DWJ2_QARS</t>
  </si>
  <si>
    <t>B4E0V0_PNPO</t>
  </si>
  <si>
    <t>B4E1J0_PBXIP1</t>
  </si>
  <si>
    <t>B4E1Z4_CFB</t>
  </si>
  <si>
    <t>B4E2C0_GPC4</t>
  </si>
  <si>
    <t>B4E2S7_LAMP2</t>
  </si>
  <si>
    <t>B4E2V5_STOM</t>
  </si>
  <si>
    <t>B4E2X5_GNAI2</t>
  </si>
  <si>
    <t>B4E2Z0_SPARCL1</t>
  </si>
  <si>
    <t>B4E351_IGFBP4</t>
  </si>
  <si>
    <t>B4E3A5_PDGFC</t>
  </si>
  <si>
    <t>B4E3Q4_CECR1</t>
  </si>
  <si>
    <t>B5MBX2_TCN2</t>
  </si>
  <si>
    <t>B5MC82_DDT</t>
  </si>
  <si>
    <t>B5MCA4_EPCAM</t>
  </si>
  <si>
    <t>B5MD23_TSPAN9</t>
  </si>
  <si>
    <t>B5MD87_PYCRL</t>
  </si>
  <si>
    <t>B7WPD9_KIF26B</t>
  </si>
  <si>
    <t>B7Z1I4_NTM</t>
  </si>
  <si>
    <t>B7Z1R5_ATP6V1A</t>
  </si>
  <si>
    <t>B7Z254_PDIA6</t>
  </si>
  <si>
    <t>B7Z3I9_ALAD</t>
  </si>
  <si>
    <t>B7Z4K6_DNASE2</t>
  </si>
  <si>
    <t>B7Z4L4_RPN1</t>
  </si>
  <si>
    <t>B7Z5C0_DNAJA1</t>
  </si>
  <si>
    <t>B7Z5N7_SCFD1</t>
  </si>
  <si>
    <t>B7Z5W1_F11R</t>
  </si>
  <si>
    <t>B7Z729_SMPDL3A</t>
  </si>
  <si>
    <t>B7Z7P8_ETF1</t>
  </si>
  <si>
    <t>B7Z831_GPRC5B</t>
  </si>
  <si>
    <t>B7Z8T3_FETUB</t>
  </si>
  <si>
    <t>B7Z9C4_CTPS1</t>
  </si>
  <si>
    <t>B7Z9L0_CCT4</t>
  </si>
  <si>
    <t>B7ZKJ8_ITIH4</t>
  </si>
  <si>
    <t>B7ZMG9_FAM150A</t>
  </si>
  <si>
    <t>B8ZZ77_PPIL3</t>
  </si>
  <si>
    <t>B8ZZK4_RPL31</t>
  </si>
  <si>
    <t>B8ZZQ6_PTMA</t>
  </si>
  <si>
    <t>B8ZZT4_VAMP8</t>
  </si>
  <si>
    <t>B8ZZU8_TCEB2</t>
  </si>
  <si>
    <t>B9A064_IGLL5</t>
  </si>
  <si>
    <t>C9IZ46_SHISA5</t>
  </si>
  <si>
    <t>C9IZE4_PSMD6</t>
  </si>
  <si>
    <t>C9IZG4_CUTA</t>
  </si>
  <si>
    <t>C9J0E4_CSTA</t>
  </si>
  <si>
    <t>C9J0T6_RAB17</t>
  </si>
  <si>
    <t>C9J1D9_IL1RAP</t>
  </si>
  <si>
    <t>C9J2Z4_EHD1</t>
  </si>
  <si>
    <t>C9J4Z0_SLC22A23</t>
  </si>
  <si>
    <t>C9J5C3_PDCD10</t>
  </si>
  <si>
    <t>C9J686_IL1R1</t>
  </si>
  <si>
    <t>C9J6H2_IGFBP1</t>
  </si>
  <si>
    <t>C9J6N5_FAM107B</t>
  </si>
  <si>
    <t>C9J815_APOBR</t>
  </si>
  <si>
    <t>C9J8H1_ATP6V1E1</t>
  </si>
  <si>
    <t>C9J8S2_RARRES2</t>
  </si>
  <si>
    <t>C9J8U2_NAPRT1</t>
  </si>
  <si>
    <t>C9J931_RHEB</t>
  </si>
  <si>
    <t>C9J9K3_RPSA</t>
  </si>
  <si>
    <t>C9J9T0_RPE</t>
  </si>
  <si>
    <t>C9J9W2_LASP1</t>
  </si>
  <si>
    <t>C9JCN0_MYOF</t>
  </si>
  <si>
    <t>C9JDV1_LSP1</t>
  </si>
  <si>
    <t>C9JDX1_C1GALT1</t>
  </si>
  <si>
    <t>C9JEU5_FGG</t>
  </si>
  <si>
    <t>C9JEV0_AZGP1</t>
  </si>
  <si>
    <t>C9JEV6_NAGK</t>
  </si>
  <si>
    <t>C9JF17_APOD</t>
  </si>
  <si>
    <t>C9JFE4_GPS1</t>
  </si>
  <si>
    <t>C9JFM0_PTPRZ1</t>
  </si>
  <si>
    <t>C9JFX5_EPHA4</t>
  </si>
  <si>
    <t>C9JGI3_TYMP</t>
  </si>
  <si>
    <t>C9JH92_CRYZ</t>
  </si>
  <si>
    <t>C9JHJ7_ACVR1</t>
  </si>
  <si>
    <t>C9JIM0_PBLD</t>
  </si>
  <si>
    <t>C9JIZ6_PSAP</t>
  </si>
  <si>
    <t>C9JMA6_CBS</t>
  </si>
  <si>
    <t>C9JTY3_TFG</t>
  </si>
  <si>
    <t>C9JV08_IFNAR1</t>
  </si>
  <si>
    <t>C9JVB2_KIAA0319L</t>
  </si>
  <si>
    <t>C9JXB8_RPL24</t>
  </si>
  <si>
    <t>C9JYY6_NRCAM</t>
  </si>
  <si>
    <t>D0FY33_BTN3A3</t>
  </si>
  <si>
    <t>D3DQ64_AK4</t>
  </si>
  <si>
    <t>D6R907_EPN3</t>
  </si>
  <si>
    <t>D6R997_COPB2</t>
  </si>
  <si>
    <t>D6R9B6_RPS3A</t>
  </si>
  <si>
    <t>D6R9P2_SLC9B2</t>
  </si>
  <si>
    <t>D6R9S9_NAAA</t>
  </si>
  <si>
    <t>D6RA00_ENOPH1</t>
  </si>
  <si>
    <t>D6RAX7_COPS4</t>
  </si>
  <si>
    <t>D6RBV2_LMAN2</t>
  </si>
  <si>
    <t>D6RBW1_EIF4E</t>
  </si>
  <si>
    <t>D6RC73_CCL28</t>
  </si>
  <si>
    <t>D6RD47_RPS23</t>
  </si>
  <si>
    <t>D6RD83_HNRNPD</t>
  </si>
  <si>
    <t>D6RDM7_UBE2K</t>
  </si>
  <si>
    <t>D6RDP1_SEPT11</t>
  </si>
  <si>
    <t>D6REB4_PAIP1</t>
  </si>
  <si>
    <t>D6REB5_IDUA</t>
  </si>
  <si>
    <t>D6REE0_FAM153A</t>
  </si>
  <si>
    <t>D6REX5_SEPP1</t>
  </si>
  <si>
    <t>D6RF62_PAICS</t>
  </si>
  <si>
    <t>D6RFH4_CYB5B</t>
  </si>
  <si>
    <t>D6RG15_TWF2</t>
  </si>
  <si>
    <t>D6RGF4_ABCE1</t>
  </si>
  <si>
    <t>D6RGV2_IL7R</t>
  </si>
  <si>
    <t>D6RHI9_RNASET2</t>
  </si>
  <si>
    <t>D6RIW1_HMGCS1</t>
  </si>
  <si>
    <t>D7UEQ7_AHCYL2</t>
  </si>
  <si>
    <t>E5RFY9_C1orf198</t>
  </si>
  <si>
    <t>E5RG27_CSNK1A1</t>
  </si>
  <si>
    <t>E5RGR0_LYPLA1</t>
  </si>
  <si>
    <t>E5RGS4_PFDN1</t>
  </si>
  <si>
    <t>E5RI95_NCALD</t>
  </si>
  <si>
    <t>E5RII8_OXR1</t>
  </si>
  <si>
    <t>E5RIK5_DCTN6</t>
  </si>
  <si>
    <t>E5RIT4_EIF3E</t>
  </si>
  <si>
    <t>E5RIW3_TBCA</t>
  </si>
  <si>
    <t>E5RJB8_SDC2</t>
  </si>
  <si>
    <t>E5RJE3_RWDD1</t>
  </si>
  <si>
    <t>E5RJR5_SKP1</t>
  </si>
  <si>
    <t>E5RJU9_MTDH</t>
  </si>
  <si>
    <t>E5RK99_CTHRC1</t>
  </si>
  <si>
    <t>E7EM64_COPS6</t>
  </si>
  <si>
    <t>E7EMB1_SWAP70</t>
  </si>
  <si>
    <t>E7EMB6_DNPEP</t>
  </si>
  <si>
    <t>E7EMV0_DIAPH1</t>
  </si>
  <si>
    <t>E7END6_PROC</t>
  </si>
  <si>
    <t>E7ENN3_SYNE1</t>
  </si>
  <si>
    <t>E7ENZ3_CCT5</t>
  </si>
  <si>
    <t>E7EPB3_RPL14</t>
  </si>
  <si>
    <t>E7EPD0_TOM1</t>
  </si>
  <si>
    <t>E7EQR8_YIPF3</t>
  </si>
  <si>
    <t>E7EQV9_RPL15</t>
  </si>
  <si>
    <t>E7ER27_HSD17B4</t>
  </si>
  <si>
    <t>E7ERV9_ASAH1</t>
  </si>
  <si>
    <t>E7ES19_THBS4</t>
  </si>
  <si>
    <t>E7ETU9_PLOD2</t>
  </si>
  <si>
    <t>E7ETZ0_CALM1</t>
  </si>
  <si>
    <t>E7EU05_CD36</t>
  </si>
  <si>
    <t>E7EU09_FGFR1</t>
  </si>
  <si>
    <t>E7EU23_GDI2</t>
  </si>
  <si>
    <t>E7EUG3_GGT5</t>
  </si>
  <si>
    <t>E7EUL7_SSFA2</t>
  </si>
  <si>
    <t>E7EUU1_LTBP4</t>
  </si>
  <si>
    <t>E7EVJ3_NDST1</t>
  </si>
  <si>
    <t>E7EVU7_GNPDA1</t>
  </si>
  <si>
    <t>E7EW20_MYO6</t>
  </si>
  <si>
    <t>E7EWE1_UBA5</t>
  </si>
  <si>
    <t>E7EX17_EIF4B</t>
  </si>
  <si>
    <t>E7EX60_NRP1</t>
  </si>
  <si>
    <t>E7EX73_EIF4G1</t>
  </si>
  <si>
    <t>E7EX90_DCTN1</t>
  </si>
  <si>
    <t>E7EXA3_NIF3L1</t>
  </si>
  <si>
    <t>E9PAQ1_CFP</t>
  </si>
  <si>
    <t>E9PB61_ALYREF</t>
  </si>
  <si>
    <t>E9PBJ0_MUC5B</t>
  </si>
  <si>
    <t>E9PBU3_ATIC</t>
  </si>
  <si>
    <t>E9PC74_EIF2B5</t>
  </si>
  <si>
    <t>E9PCD7_MAN2B2</t>
  </si>
  <si>
    <t>E9PCV0_GUSB</t>
  </si>
  <si>
    <t>E9PDB2_MDH2</t>
  </si>
  <si>
    <t>E9PDQ1_CSN1S1</t>
  </si>
  <si>
    <t>E9PDY6_MUC4</t>
  </si>
  <si>
    <t>E9PFD9_SEMA4D</t>
  </si>
  <si>
    <t>E9PFN5_GSTK1</t>
  </si>
  <si>
    <t>E9PFZ2_CP</t>
  </si>
  <si>
    <t>E9PGN7_SERPING1</t>
  </si>
  <si>
    <t>E9PGT1_TSN</t>
  </si>
  <si>
    <t>E9PH29_PRDX3</t>
  </si>
  <si>
    <t>E9PH32_MUC20</t>
  </si>
  <si>
    <t>E9PHI6_DYNC1LI1</t>
  </si>
  <si>
    <t>E9PHK0_CLEC3B</t>
  </si>
  <si>
    <t>E9PI87_HTATIP2</t>
  </si>
  <si>
    <t>E9PIN0_ATM</t>
  </si>
  <si>
    <t>E9PIR7_TXNRD1</t>
  </si>
  <si>
    <t>E9PJ81_UBXN1</t>
  </si>
  <si>
    <t>E9PJD9_RPL27A</t>
  </si>
  <si>
    <t>E9PJK1_CD81</t>
  </si>
  <si>
    <t>E9PJP1_AAMDC</t>
  </si>
  <si>
    <t>E9PK01_EEF1D</t>
  </si>
  <si>
    <t>E9PK47_PYGL</t>
  </si>
  <si>
    <t>E9PKP6_PICALM</t>
  </si>
  <si>
    <t>E9PKZ0_RPL8</t>
  </si>
  <si>
    <t>E9PL10_BTF3L4</t>
  </si>
  <si>
    <t>E9PL22_HYOU1</t>
  </si>
  <si>
    <t>E9PL74_PLEKHA7</t>
  </si>
  <si>
    <t>E9PLB2_IPO7</t>
  </si>
  <si>
    <t>E9PLK3_NPEPPS</t>
  </si>
  <si>
    <t>E9PM69_PSMC3</t>
  </si>
  <si>
    <t>E9PMD7_PPP1CA</t>
  </si>
  <si>
    <t>E9PMT1_CASP4</t>
  </si>
  <si>
    <t>E9PMY3_PTP4A2</t>
  </si>
  <si>
    <t>E9PNA1_B3GAT3</t>
  </si>
  <si>
    <t>E9PNK6_TPD52L1</t>
  </si>
  <si>
    <t>E9PNW4_CD59</t>
  </si>
  <si>
    <t>E9PP31_CAPRIN1</t>
  </si>
  <si>
    <t>E9PP73_COPB1</t>
  </si>
  <si>
    <t>E9PPC8_PPP3CA</t>
  </si>
  <si>
    <t>E9PPJ5_MDK</t>
  </si>
  <si>
    <t>E9PQI5_CHMP4A</t>
  </si>
  <si>
    <t>E9PQY2_PFDN4</t>
  </si>
  <si>
    <t>E9PR30_FAU</t>
  </si>
  <si>
    <t>E9PRR2_PRSS23</t>
  </si>
  <si>
    <t>F2Z2U8_MYH14</t>
  </si>
  <si>
    <t>F2Z393_TALDO1</t>
  </si>
  <si>
    <t>F5GWT4_WNK1</t>
  </si>
  <si>
    <t>F5GWY5_PODXL</t>
  </si>
  <si>
    <t>F5GX71_MPI</t>
  </si>
  <si>
    <t>F5GX85_TRIM3</t>
  </si>
  <si>
    <t>F5GXC3_TRAPPC13</t>
  </si>
  <si>
    <t>F5GXI4_PTPRK</t>
  </si>
  <si>
    <t>F5GXQ0_BROX</t>
  </si>
  <si>
    <t>F5GY03_SPARC</t>
  </si>
  <si>
    <t>F5GY07_STARD10</t>
  </si>
  <si>
    <t>F5GY99_GALNT1</t>
  </si>
  <si>
    <t>F5GYC9_AIF1L</t>
  </si>
  <si>
    <t>F5GYN4_OTUB1</t>
  </si>
  <si>
    <t>F5GYQ6_SH3YL1</t>
  </si>
  <si>
    <t>F5GYU8_TMC5</t>
  </si>
  <si>
    <t>F5GZ54_MCEE</t>
  </si>
  <si>
    <t>F5GZD9_PTHLH</t>
  </si>
  <si>
    <t>F5GZS6_SLC3A2</t>
  </si>
  <si>
    <t>F5GZT4_HNRNPH1</t>
  </si>
  <si>
    <t>F5GZY7_GABARAPL1</t>
  </si>
  <si>
    <t>F5H0B0_TPD52</t>
  </si>
  <si>
    <t>F5H0U9_MYO3A</t>
  </si>
  <si>
    <t>F5H0X8_PDLIM5</t>
  </si>
  <si>
    <t>F5H157_RAB35</t>
  </si>
  <si>
    <t>F5H163_MVK</t>
  </si>
  <si>
    <t>F5H169_PSMD9</t>
  </si>
  <si>
    <t>F5H1S8_MLEC</t>
  </si>
  <si>
    <t>F5H1T5_CLIP1</t>
  </si>
  <si>
    <t>F5H241_GBA</t>
  </si>
  <si>
    <t>F5H2A7_VBP1</t>
  </si>
  <si>
    <t>F5H2F4_MTHFD1</t>
  </si>
  <si>
    <t>F5H2S7_DCTN2</t>
  </si>
  <si>
    <t>F5H335_EIF3A</t>
  </si>
  <si>
    <t>F5H3A0_ARL6IP4</t>
  </si>
  <si>
    <t>F5H3P3_ARHGDIB</t>
  </si>
  <si>
    <t>F5H3X9_PPP2R1A</t>
  </si>
  <si>
    <t>F5H442_TSG101</t>
  </si>
  <si>
    <t>F5H4L7_VPS26A</t>
  </si>
  <si>
    <t>F5H555_CASC1</t>
  </si>
  <si>
    <t>F5H5E8_SCARB1</t>
  </si>
  <si>
    <t>F5H5Q2_ACVR1B</t>
  </si>
  <si>
    <t>F5H5S4_CES4A</t>
  </si>
  <si>
    <t>F5H5Y2_SSR1</t>
  </si>
  <si>
    <t>F5H6E2_MYO1C</t>
  </si>
  <si>
    <t>F5H6I0_B2M</t>
  </si>
  <si>
    <t>F5H6V7_TNFRSF1A</t>
  </si>
  <si>
    <t>F5H7G2_RGMA</t>
  </si>
  <si>
    <t>F5H7N9_MFGE8</t>
  </si>
  <si>
    <t>F5H7R9_PTMS</t>
  </si>
  <si>
    <t>F5H7S3_TPM1</t>
  </si>
  <si>
    <t>F5H7S7_IQGAP2</t>
  </si>
  <si>
    <t>F5H7V1_NRD1</t>
  </si>
  <si>
    <t>F5H827_POMGNT1</t>
  </si>
  <si>
    <t>F5H877_SPINT1</t>
  </si>
  <si>
    <t>F6SKP1_GPNMB</t>
  </si>
  <si>
    <t>F6U1T9_PPP3R1</t>
  </si>
  <si>
    <t>F6UPZ7_TNFRSF14</t>
  </si>
  <si>
    <t>F6UXX1_SYNCRIP</t>
  </si>
  <si>
    <t>F8VPE8_RPLP0</t>
  </si>
  <si>
    <t>F8VQX6_METTL7A</t>
  </si>
  <si>
    <t>F8VR82_PPP1CC</t>
  </si>
  <si>
    <t>F8VRJ2_NAP1L1</t>
  </si>
  <si>
    <t>F8VRR3_METAP2</t>
  </si>
  <si>
    <t>F8VRX1_RAPGEF3</t>
  </si>
  <si>
    <t>F8VSA6_NEDD8</t>
  </si>
  <si>
    <t>F8VSH3_PRKAG1</t>
  </si>
  <si>
    <t>F8VU90_FKBP11</t>
  </si>
  <si>
    <t>F8VUJ3_POC1B-GALNT4</t>
  </si>
  <si>
    <t>F8VV13_MUCL1</t>
  </si>
  <si>
    <t>F8VVL1_DENR</t>
  </si>
  <si>
    <t>F8VWH5_SCNN1D</t>
  </si>
  <si>
    <t>F8VWT8_BRF1</t>
  </si>
  <si>
    <t>F8VXU5_VPS29</t>
  </si>
  <si>
    <t>F8VYK9_IGFBP6</t>
  </si>
  <si>
    <t>F8VYZ3_SDSL</t>
  </si>
  <si>
    <t>F8VZJ2_NACA</t>
  </si>
  <si>
    <t>F8VZY9_KRT18</t>
  </si>
  <si>
    <t>F8W181_RPL6</t>
  </si>
  <si>
    <t>F8W1Q3_BTD</t>
  </si>
  <si>
    <t>F8W1R7_MYL6</t>
  </si>
  <si>
    <t>F8W785_GOLIM4</t>
  </si>
  <si>
    <t>F8W7D6_GPHN</t>
  </si>
  <si>
    <t>F8W7M9_FBLN1</t>
  </si>
  <si>
    <t>F8W8D8_PLS3</t>
  </si>
  <si>
    <t>F8W8S0_DYNC1I2</t>
  </si>
  <si>
    <t>F8W8T8_ACACB</t>
  </si>
  <si>
    <t>F8W914_RTN4</t>
  </si>
  <si>
    <t>F8W9L1_SERPINB4</t>
  </si>
  <si>
    <t>F8W9Y0_STX3</t>
  </si>
  <si>
    <t>F8WB82_GALM</t>
  </si>
  <si>
    <t>F8WC54_ADAM9</t>
  </si>
  <si>
    <t>F8WCF6_ARPC4</t>
  </si>
  <si>
    <t>F8WCQ2_SACM1L</t>
  </si>
  <si>
    <t>F8WDS9_LANCL1</t>
  </si>
  <si>
    <t>F8WEF7_DMBT1</t>
  </si>
  <si>
    <t>F8WF57_SIRT2</t>
  </si>
  <si>
    <t>F8WF69_CLTA</t>
  </si>
  <si>
    <t>F8WFB9_SH3GLB2</t>
  </si>
  <si>
    <t>G3V0E5_TFRC</t>
  </si>
  <si>
    <t>G3V0F0_C16orf89</t>
  </si>
  <si>
    <t>G3V113_UBE2V2</t>
  </si>
  <si>
    <t>G3V1A4_CFL1</t>
  </si>
  <si>
    <t>G3V1C5_IL18BP</t>
  </si>
  <si>
    <t>G3V1D3_DPP3</t>
  </si>
  <si>
    <t>G3V1J9_TMED3</t>
  </si>
  <si>
    <t>G3V1K0_TXNL1</t>
  </si>
  <si>
    <t>G3V203_RPL18</t>
  </si>
  <si>
    <t>G3V213_AK2</t>
  </si>
  <si>
    <t>G3V2F7_TMEM189</t>
  </si>
  <si>
    <t>G3V2G6_RDH11</t>
  </si>
  <si>
    <t>G3V2W1_SERPINA10</t>
  </si>
  <si>
    <t>G3V2W9_EAPP</t>
  </si>
  <si>
    <t>G3V3E1_SKOR1</t>
  </si>
  <si>
    <t>G3V3Z5_FAM177A1</t>
  </si>
  <si>
    <t>G3V4U0_FBLN5</t>
  </si>
  <si>
    <t>G3V511_LTBP2</t>
  </si>
  <si>
    <t>G3V578_NDRG2</t>
  </si>
  <si>
    <t>G3V5E4_GNPNAT1</t>
  </si>
  <si>
    <t>G3V5I3_SERPINA3</t>
  </si>
  <si>
    <t>G3V5Z7_PSMA6</t>
  </si>
  <si>
    <t>G3XAB3_TTC17</t>
  </si>
  <si>
    <t>G3XAE6_SULF2</t>
  </si>
  <si>
    <t>G3XAI2_LAMB1</t>
  </si>
  <si>
    <t>G3XAK1_MST1</t>
  </si>
  <si>
    <t>G3XAM2_CFI</t>
  </si>
  <si>
    <t>G5E9F8_PROS1</t>
  </si>
  <si>
    <t>G5E9W8_GYG1</t>
  </si>
  <si>
    <t>G5EA09_SDCBP</t>
  </si>
  <si>
    <t>G5EA52_PDIA3</t>
  </si>
  <si>
    <t>G8JL88_APOL1</t>
  </si>
  <si>
    <t>G8JLA8_TGFBI</t>
  </si>
  <si>
    <t>G8JLC6_MIA3</t>
  </si>
  <si>
    <t>H0Y3D0_ENTPD6</t>
  </si>
  <si>
    <t>H0Y3V5_THADA</t>
  </si>
  <si>
    <t>H0Y449_YBX1</t>
  </si>
  <si>
    <t>H0Y4H3_CD99L2</t>
  </si>
  <si>
    <t>H0Y4T6_PIN4</t>
  </si>
  <si>
    <t>H0Y4U3_FCGR3B</t>
  </si>
  <si>
    <t>H0Y555_PSMF1</t>
  </si>
  <si>
    <t>H0Y5A1_PTGDS</t>
  </si>
  <si>
    <t>H0Y614_UFM1</t>
  </si>
  <si>
    <t>H0Y6T4_ACADSB</t>
  </si>
  <si>
    <t>H0Y6W5_BNC2</t>
  </si>
  <si>
    <t>H0Y750_ATP6AP2</t>
  </si>
  <si>
    <t>H0Y7F0_CAST</t>
  </si>
  <si>
    <t>H0Y7S3_ATP2B2</t>
  </si>
  <si>
    <t>H0Y8K1_CSN1S1</t>
  </si>
  <si>
    <t>H0Y8X4_DNPH1</t>
  </si>
  <si>
    <t>H0YA52_PCBD2</t>
  </si>
  <si>
    <t>H0YAC1_KLKB1</t>
  </si>
  <si>
    <t>H0YAK8_RBP1</t>
  </si>
  <si>
    <t>H0YAR1_LOXL2</t>
  </si>
  <si>
    <t>H0YB13_STC2</t>
  </si>
  <si>
    <t>H0YBZ2_CD74</t>
  </si>
  <si>
    <t>H0YCX6_LTBP3</t>
  </si>
  <si>
    <t>H0YD13_CD44</t>
  </si>
  <si>
    <t>H0YDT6_EIF3F</t>
  </si>
  <si>
    <t>H0YEN5_RPS2</t>
  </si>
  <si>
    <t>H0YEP5_SMPD1</t>
  </si>
  <si>
    <t>H0YFA4_CRIP2</t>
  </si>
  <si>
    <t>H0YFC6_RAN</t>
  </si>
  <si>
    <t>H0YFS9_GLTP</t>
  </si>
  <si>
    <t>H0YGL6_RAB6A</t>
  </si>
  <si>
    <t>H0YGV7_MAN1B1</t>
  </si>
  <si>
    <t>H0YII4_DDI2</t>
  </si>
  <si>
    <t>H0YJ34_FERMT2</t>
  </si>
  <si>
    <t>H0YJG7_AHSA1</t>
  </si>
  <si>
    <t>H0YJS4_EIF2S1</t>
  </si>
  <si>
    <t>H0YJV2_SPTLC2</t>
  </si>
  <si>
    <t>H0YJV3_NID2</t>
  </si>
  <si>
    <t>H0YK42_SNX1</t>
  </si>
  <si>
    <t>H0YKU1_TMOD3</t>
  </si>
  <si>
    <t>H0YKY0_CINP</t>
  </si>
  <si>
    <t>H0YLA2_SRP14</t>
  </si>
  <si>
    <t>H0YLC8_PCSK6</t>
  </si>
  <si>
    <t>H0YLY7_CHP1</t>
  </si>
  <si>
    <t>H0YM03_COPS2</t>
  </si>
  <si>
    <t>H0YM70_PSME2</t>
  </si>
  <si>
    <t>H0YMB1_RMDN3</t>
  </si>
  <si>
    <t>H0YMB3_GMPR2</t>
  </si>
  <si>
    <t>H0YMM1_ANXA2</t>
  </si>
  <si>
    <t>H0YN18_PSMA4</t>
  </si>
  <si>
    <t>H0YN26_ANP32A</t>
  </si>
  <si>
    <t>H0YN29_CD276</t>
  </si>
  <si>
    <t>H0YN73_RPS17L</t>
  </si>
  <si>
    <t>H0YNE3_PSME1</t>
  </si>
  <si>
    <t>H0YNE9_RAB8B</t>
  </si>
  <si>
    <t>H3BLT5_KIAA1109</t>
  </si>
  <si>
    <t>H3BLU7_AKR7A2</t>
  </si>
  <si>
    <t>H3BMB5_TNFRSF17</t>
  </si>
  <si>
    <t>H3BMF2_JMJD8</t>
  </si>
  <si>
    <t>H3BMQ1_PFDN5</t>
  </si>
  <si>
    <t>H3BMT0_HN1L</t>
  </si>
  <si>
    <t>H3BNC6_CDH1</t>
  </si>
  <si>
    <t>H3BPG7_CIAPIN1</t>
  </si>
  <si>
    <t>H3BPK3_HAGH</t>
  </si>
  <si>
    <t>H3BQ06_</t>
  </si>
  <si>
    <t>H3BQ52_ARPP19</t>
  </si>
  <si>
    <t>H3BQ94_NPTN</t>
  </si>
  <si>
    <t>H3BQB1_APRT</t>
  </si>
  <si>
    <t>H3BRV0_EIF3C</t>
  </si>
  <si>
    <t>H3BS10_HEXA</t>
  </si>
  <si>
    <t>H3BSW0_LRRC57</t>
  </si>
  <si>
    <t>H3BTH8_HAPLN3</t>
  </si>
  <si>
    <t>H3BTZ5_CNN2</t>
  </si>
  <si>
    <t>H3BUA3_CES3</t>
  </si>
  <si>
    <t>H3BV04_SCAMP2</t>
  </si>
  <si>
    <t>H3BV55_PMM2</t>
  </si>
  <si>
    <t>H3BVC7_RPS15A</t>
  </si>
  <si>
    <t>H7BXG7_SEC31A</t>
  </si>
  <si>
    <t>H7BXR3_SORBS2</t>
  </si>
  <si>
    <t>H7BY10_RPL23A</t>
  </si>
  <si>
    <t>H7BY58_PCMT1</t>
  </si>
  <si>
    <t>H7BZJ3_PDIA3</t>
  </si>
  <si>
    <t>H7BZT4_</t>
  </si>
  <si>
    <t>H7BZT7_ESD</t>
  </si>
  <si>
    <t>H7BZY9_ABHD5</t>
  </si>
  <si>
    <t>H7C089_TTC38</t>
  </si>
  <si>
    <t>H7C123_RPL10</t>
  </si>
  <si>
    <t>H7C131_ACAA1</t>
  </si>
  <si>
    <t>H7C1T7_COPG2</t>
  </si>
  <si>
    <t>H7C1U0_APEH</t>
  </si>
  <si>
    <t>H7C284_MFSD6</t>
  </si>
  <si>
    <t>H7C2I8_ILKAP</t>
  </si>
  <si>
    <t>H7C2S8_PLOD3</t>
  </si>
  <si>
    <t>H7C3L5_TAX1BP1</t>
  </si>
  <si>
    <t>H7C3P4_GNS</t>
  </si>
  <si>
    <t>H7C3P7_RALA</t>
  </si>
  <si>
    <t>H7C472_ST6GAL1</t>
  </si>
  <si>
    <t>H7C570_GPR110</t>
  </si>
  <si>
    <t>H9KV70_LCN2</t>
  </si>
  <si>
    <t>I3L0H8_DDX19A</t>
  </si>
  <si>
    <t>I3L0N3_NSF</t>
  </si>
  <si>
    <t>I3L1J1_SHBG</t>
  </si>
  <si>
    <t>I3L1J2_CDH5</t>
  </si>
  <si>
    <t>I3L1P5_HGS</t>
  </si>
  <si>
    <t>I3L1Q1_TOM1L1</t>
  </si>
  <si>
    <t>I3L2G3_FN3KRP</t>
  </si>
  <si>
    <t>I3L397_EIF5A</t>
  </si>
  <si>
    <t>I3L459_PITPNA</t>
  </si>
  <si>
    <t>I3L4C2_BAIAP2</t>
  </si>
  <si>
    <t>I6L8B7_FABP5</t>
  </si>
  <si>
    <t>J3KMX5_RPS13</t>
  </si>
  <si>
    <t>J3KMY5_NPC2</t>
  </si>
  <si>
    <t>J3KMZ9_LDLR</t>
  </si>
  <si>
    <t>J3KN08_MATN2</t>
  </si>
  <si>
    <t>J3KN16_KIAA0368</t>
  </si>
  <si>
    <t>J3KN36_NOMO3</t>
  </si>
  <si>
    <t>J3KNP4_SEMA4B</t>
  </si>
  <si>
    <t>J3KNT0_FSCN1</t>
  </si>
  <si>
    <t>J3KPI3_KIAA1551</t>
  </si>
  <si>
    <t>J3KPL1_PNPLA8</t>
  </si>
  <si>
    <t>J3KPS3_ALDOA</t>
  </si>
  <si>
    <t>J3KQ32_OLA1</t>
  </si>
  <si>
    <t>J3KQ45_TGOLN2</t>
  </si>
  <si>
    <t>J3KQ99_HLA-DPA1</t>
  </si>
  <si>
    <t>J3KR88_CORIN</t>
  </si>
  <si>
    <t>J3KRP0_CNDP1</t>
  </si>
  <si>
    <t>J3KSH8_HN1</t>
  </si>
  <si>
    <t>J3KSJ8_PPP1R1B</t>
  </si>
  <si>
    <t>J3KT79_SCRN2</t>
  </si>
  <si>
    <t>J3KTF8_ARHGDIA</t>
  </si>
  <si>
    <t>J3KTI2_MIEN1</t>
  </si>
  <si>
    <t>J3KTJ1_MYL12A</t>
  </si>
  <si>
    <t>J3QK90_NSFL1C</t>
  </si>
  <si>
    <t>J3QKL6_TRAPPC8</t>
  </si>
  <si>
    <t>J3QKW8_CLUL1</t>
  </si>
  <si>
    <t>J3QL81_ENOSF1</t>
  </si>
  <si>
    <t>J3QLM9_DNAH9</t>
  </si>
  <si>
    <t>J3QQT2_RPL17</t>
  </si>
  <si>
    <t>J3QS03_TWSG1</t>
  </si>
  <si>
    <t>J3QS45_DCXR</t>
  </si>
  <si>
    <t>J3QSB4_RPL13</t>
  </si>
  <si>
    <t>J3QSE5_LCAT</t>
  </si>
  <si>
    <t>J9JIE0_GPRC5C</t>
  </si>
  <si>
    <t>K7EIJ0_WBP2</t>
  </si>
  <si>
    <t>K7EIJ6_MYO5B</t>
  </si>
  <si>
    <t>K7EJR3_PSMD8</t>
  </si>
  <si>
    <t>K7EJT5_RPL22</t>
  </si>
  <si>
    <t>K7EK35_STAT5A</t>
  </si>
  <si>
    <t>K7EK45_PTBP1</t>
  </si>
  <si>
    <t>K7EKV4_VPS25</t>
  </si>
  <si>
    <t>K7EL62_GNA11</t>
  </si>
  <si>
    <t>K7EL68_CDC37</t>
  </si>
  <si>
    <t>K7EL76_KLC3</t>
  </si>
  <si>
    <t>K7ELL7_PRKCSH</t>
  </si>
  <si>
    <t>K7EM02_KATNAL2</t>
  </si>
  <si>
    <t>K7EM18_EIF1</t>
  </si>
  <si>
    <t>K7EMD6_SGTA</t>
  </si>
  <si>
    <t>K7EMS3_KRT19</t>
  </si>
  <si>
    <t>K7EMV3_H3F3B</t>
  </si>
  <si>
    <t>K7ENS2_TBCB</t>
  </si>
  <si>
    <t>K7EP80_CAPNS1</t>
  </si>
  <si>
    <t>K7EQA1_PDCD5</t>
  </si>
  <si>
    <t>K7EQZ3_</t>
  </si>
  <si>
    <t>K7ERG9_CFD</t>
  </si>
  <si>
    <t>K7ERI9_APOC1</t>
  </si>
  <si>
    <t>K7ERP4_GPX4</t>
  </si>
  <si>
    <t>K7ES02_BLMH</t>
  </si>
  <si>
    <t>K7ES31_EIF3K</t>
  </si>
  <si>
    <t>K7ESE3_RAD23A</t>
  </si>
  <si>
    <t>K7ESI9_DNM2</t>
  </si>
  <si>
    <t>M0QX57_KLK3</t>
  </si>
  <si>
    <t>M0QXF7_C19orf10</t>
  </si>
  <si>
    <t>M0QY29_LIPE</t>
  </si>
  <si>
    <t>M0QYE0_SH3GL1</t>
  </si>
  <si>
    <t>M0QYG8_GMFG</t>
  </si>
  <si>
    <t>M0QYS1_RPL13A</t>
  </si>
  <si>
    <t>M0QZ21_AP2S1</t>
  </si>
  <si>
    <t>M0QZN2_RPS5</t>
  </si>
  <si>
    <t>M0R081_CLEC11A</t>
  </si>
  <si>
    <t>M0R0Y2_NAPA</t>
  </si>
  <si>
    <t>M0R1E0_RAB4B</t>
  </si>
  <si>
    <t>M0R1L7_CHMP2A</t>
  </si>
  <si>
    <t>M0R2K4_CEACAM1</t>
  </si>
  <si>
    <t>M0R2L9_RPS19</t>
  </si>
  <si>
    <t>M0R2Y5_MUC16</t>
  </si>
  <si>
    <t>M0R3C9_NOTCH3</t>
  </si>
  <si>
    <t>M0R3D6_RPL18A</t>
  </si>
  <si>
    <t>O00161_SNAP23</t>
  </si>
  <si>
    <t>O00206-2_TLR4</t>
  </si>
  <si>
    <t>O00231_PSMD11</t>
  </si>
  <si>
    <t>O00232-2_PSMD12</t>
  </si>
  <si>
    <t>O00264_PGRMC1</t>
  </si>
  <si>
    <t>O00273-2_DFFA</t>
  </si>
  <si>
    <t>O00292-2_LEFTY2</t>
  </si>
  <si>
    <t>O00299_CLIC1</t>
  </si>
  <si>
    <t>O00300_TNFRSF11B</t>
  </si>
  <si>
    <t>O00391_QSOX1</t>
  </si>
  <si>
    <t>O00410_IPO5</t>
  </si>
  <si>
    <t>O00462_MANBA</t>
  </si>
  <si>
    <t>O00468-2_AGRN</t>
  </si>
  <si>
    <t>O00499-9_BIN1</t>
  </si>
  <si>
    <t>O00560_SDCBP</t>
  </si>
  <si>
    <t>O00622_CYR61</t>
  </si>
  <si>
    <t>O00625_PIR</t>
  </si>
  <si>
    <t>O00754_MAN2B1</t>
  </si>
  <si>
    <t>O00757_FBP2</t>
  </si>
  <si>
    <t>O00764_PDXK</t>
  </si>
  <si>
    <t>O14498_ISLR</t>
  </si>
  <si>
    <t>O14657_TOR1B</t>
  </si>
  <si>
    <t>O14672_ADAM10</t>
  </si>
  <si>
    <t>O14745_SLC9A3R1</t>
  </si>
  <si>
    <t>O14773_TPP1</t>
  </si>
  <si>
    <t>O14807_MRAS</t>
  </si>
  <si>
    <t>O14818_PSMA7</t>
  </si>
  <si>
    <t>O14841_OPLAH</t>
  </si>
  <si>
    <t>O15031_PLXNB2</t>
  </si>
  <si>
    <t>O15072_ADAMTS3</t>
  </si>
  <si>
    <t>O15143_ARPC1B</t>
  </si>
  <si>
    <t>O15144_ARPC2</t>
  </si>
  <si>
    <t>O15145_ARPC3</t>
  </si>
  <si>
    <t>O15204-2_ADAMDEC1</t>
  </si>
  <si>
    <t>O15212_PFDN6</t>
  </si>
  <si>
    <t>O15230_LAMA5</t>
  </si>
  <si>
    <t>O15232_MATN3</t>
  </si>
  <si>
    <t>O15400-2_STX7</t>
  </si>
  <si>
    <t>O15511_ARPC5</t>
  </si>
  <si>
    <t>O15540_FABP7</t>
  </si>
  <si>
    <t>O43155_FLRT2</t>
  </si>
  <si>
    <t>O43175_PHGDH</t>
  </si>
  <si>
    <t>O43242_PSMD3</t>
  </si>
  <si>
    <t>O43286_B4GALT5</t>
  </si>
  <si>
    <t>O43291_SPINT2</t>
  </si>
  <si>
    <t>O43399-2_TPD52L2</t>
  </si>
  <si>
    <t>O43490-5_PROM1</t>
  </si>
  <si>
    <t>O43505_B3GNT1</t>
  </si>
  <si>
    <t>O43508-2_TNFSF12</t>
  </si>
  <si>
    <t>O43657_TSPAN6</t>
  </si>
  <si>
    <t>O43681_ASNA1</t>
  </si>
  <si>
    <t>O43707_ACTN4</t>
  </si>
  <si>
    <t>O43708-3_GSTZ1</t>
  </si>
  <si>
    <t>O43776_NARS</t>
  </si>
  <si>
    <t>O43852-2_CALU</t>
  </si>
  <si>
    <t>O43866_CD5L</t>
  </si>
  <si>
    <t>O60259_KLK8</t>
  </si>
  <si>
    <t>O60262_GNG7</t>
  </si>
  <si>
    <t>O60271-5_SPAG9</t>
  </si>
  <si>
    <t>O60343-2_TBC1D4</t>
  </si>
  <si>
    <t>O60476_MAN1A2</t>
  </si>
  <si>
    <t>O60488-2_ACSL4</t>
  </si>
  <si>
    <t>O60543_CIDEA</t>
  </si>
  <si>
    <t>O60547-2_GMDS</t>
  </si>
  <si>
    <t>O60603_TLR2</t>
  </si>
  <si>
    <t>O60613_SEP15</t>
  </si>
  <si>
    <t>O60664-4_PLIN3</t>
  </si>
  <si>
    <t>O60763_USO1</t>
  </si>
  <si>
    <t>O60869-2_EDF1</t>
  </si>
  <si>
    <t>O75054_IGSF3</t>
  </si>
  <si>
    <t>O75071_EFCAB14</t>
  </si>
  <si>
    <t>O75083_WDR1</t>
  </si>
  <si>
    <t>O75223_GGCT</t>
  </si>
  <si>
    <t>O75339_CILP</t>
  </si>
  <si>
    <t>O75348_ATP6V1G1</t>
  </si>
  <si>
    <t>O75351_VPS4B</t>
  </si>
  <si>
    <t>O75355_ENTPD3</t>
  </si>
  <si>
    <t>O75368_SH3BGRL</t>
  </si>
  <si>
    <t>O75369-2_FLNB</t>
  </si>
  <si>
    <t>O75396_SEC22B</t>
  </si>
  <si>
    <t>O75493_CA11</t>
  </si>
  <si>
    <t>O75503_CLN5</t>
  </si>
  <si>
    <t>O75629_CREG1</t>
  </si>
  <si>
    <t>O75695_RP2</t>
  </si>
  <si>
    <t>O75818-2_RPP40</t>
  </si>
  <si>
    <t>O75874_IDH1</t>
  </si>
  <si>
    <t>O75882-3_ATRN</t>
  </si>
  <si>
    <t>O75884_RBBP9</t>
  </si>
  <si>
    <t>O75891_ALDH1L1</t>
  </si>
  <si>
    <t>O75976_CPD</t>
  </si>
  <si>
    <t>O76003_GLRX3</t>
  </si>
  <si>
    <t>O76094-2_SRP72</t>
  </si>
  <si>
    <t>O94760_DDAH1</t>
  </si>
  <si>
    <t>O94874-2_UFL1</t>
  </si>
  <si>
    <t>O94903_PROSC</t>
  </si>
  <si>
    <t>O94985-2_CLSTN1</t>
  </si>
  <si>
    <t>O95197-3_RTN3</t>
  </si>
  <si>
    <t>O95274_LYPD3</t>
  </si>
  <si>
    <t>O95292_VAPB</t>
  </si>
  <si>
    <t>O95336_PGLS</t>
  </si>
  <si>
    <t>O95394_PGM3</t>
  </si>
  <si>
    <t>O95436_SLC34A2</t>
  </si>
  <si>
    <t>O95436-2_SLC34A2</t>
  </si>
  <si>
    <t>O95573_ACSL3</t>
  </si>
  <si>
    <t>O95716_RAB3D</t>
  </si>
  <si>
    <t>O95721_SNAP29</t>
  </si>
  <si>
    <t>O95747_OXSR1</t>
  </si>
  <si>
    <t>O95793-3_STAU1</t>
  </si>
  <si>
    <t>O95834-2_EML2</t>
  </si>
  <si>
    <t>O95865_DDAH2</t>
  </si>
  <si>
    <t>O95881_TXNDC12</t>
  </si>
  <si>
    <t>O95965_ITGBL1</t>
  </si>
  <si>
    <t>O95969_SCGB1D2</t>
  </si>
  <si>
    <t>O95980_RECK</t>
  </si>
  <si>
    <t>O96007_MOCS2</t>
  </si>
  <si>
    <t>P00167-2_CYB5A</t>
  </si>
  <si>
    <t>P00338_LDHA</t>
  </si>
  <si>
    <t>P00352_ALDH1A1</t>
  </si>
  <si>
    <t>P00387-3_CYB5R3</t>
  </si>
  <si>
    <t>P00441_SOD1</t>
  </si>
  <si>
    <t>P00450_CP</t>
  </si>
  <si>
    <t>P00491_PNP</t>
  </si>
  <si>
    <t>P00492_HPRT1</t>
  </si>
  <si>
    <t>P00558_PGK1</t>
  </si>
  <si>
    <t>P00709_LALBA</t>
  </si>
  <si>
    <t>P00734_F2</t>
  </si>
  <si>
    <t>P00736_C1R</t>
  </si>
  <si>
    <t>P00738_HP</t>
  </si>
  <si>
    <t>P00739_HPR</t>
  </si>
  <si>
    <t>P00740_F9</t>
  </si>
  <si>
    <t>P00747_PLG</t>
  </si>
  <si>
    <t>P00748_F12</t>
  </si>
  <si>
    <t>P00918_CA2</t>
  </si>
  <si>
    <t>P00966_ASS1</t>
  </si>
  <si>
    <t>P01008_SERPINC1</t>
  </si>
  <si>
    <t>P01009_SERPINA1</t>
  </si>
  <si>
    <t>P01019_AGT</t>
  </si>
  <si>
    <t>P01023_A2M</t>
  </si>
  <si>
    <t>P01024_C3</t>
  </si>
  <si>
    <t>P01031_C5</t>
  </si>
  <si>
    <t>P01034_CST3</t>
  </si>
  <si>
    <t>P01036_CST4</t>
  </si>
  <si>
    <t>P01042_KNG1</t>
  </si>
  <si>
    <t>P01042-2_KNG1</t>
  </si>
  <si>
    <t>P01112_HRAS</t>
  </si>
  <si>
    <t>P01116-2_KRAS</t>
  </si>
  <si>
    <t>P01133-3_EGF</t>
  </si>
  <si>
    <t>P01236_PRL</t>
  </si>
  <si>
    <t>P01591_IGJ</t>
  </si>
  <si>
    <t>P01593_</t>
  </si>
  <si>
    <t>P01594_</t>
  </si>
  <si>
    <t>P01596_</t>
  </si>
  <si>
    <t>P01598_</t>
  </si>
  <si>
    <t>P01601_</t>
  </si>
  <si>
    <t>P01603_</t>
  </si>
  <si>
    <t>P01604_</t>
  </si>
  <si>
    <t>P01605_</t>
  </si>
  <si>
    <t>P01608_</t>
  </si>
  <si>
    <t>P01609_</t>
  </si>
  <si>
    <t>P01610_</t>
  </si>
  <si>
    <t>P01611_</t>
  </si>
  <si>
    <t>P01612_</t>
  </si>
  <si>
    <t>P01613_</t>
  </si>
  <si>
    <t>P01617_</t>
  </si>
  <si>
    <t>P01619_</t>
  </si>
  <si>
    <t>P01620_</t>
  </si>
  <si>
    <t>P01621_</t>
  </si>
  <si>
    <t>P01623_</t>
  </si>
  <si>
    <t>P01624_</t>
  </si>
  <si>
    <t>P01625_</t>
  </si>
  <si>
    <t>P01699_</t>
  </si>
  <si>
    <t>P01700_</t>
  </si>
  <si>
    <t>P01701_</t>
  </si>
  <si>
    <t>P01702_</t>
  </si>
  <si>
    <t>P01703_</t>
  </si>
  <si>
    <t>P01714_</t>
  </si>
  <si>
    <t>P01717_</t>
  </si>
  <si>
    <t>P01742_</t>
  </si>
  <si>
    <t>P01743_</t>
  </si>
  <si>
    <t>P01764_</t>
  </si>
  <si>
    <t>P01765_</t>
  </si>
  <si>
    <t>P01766_</t>
  </si>
  <si>
    <t>P01767_</t>
  </si>
  <si>
    <t>P01771_</t>
  </si>
  <si>
    <t>P01772_</t>
  </si>
  <si>
    <t>P01778_</t>
  </si>
  <si>
    <t>P01779_</t>
  </si>
  <si>
    <t>P01780_</t>
  </si>
  <si>
    <t>P01781_</t>
  </si>
  <si>
    <t>P01824_</t>
  </si>
  <si>
    <t>P01833_PIGR</t>
  </si>
  <si>
    <t>P01834_IGKC</t>
  </si>
  <si>
    <t>P01857_IGHG1</t>
  </si>
  <si>
    <t>P01859_IGHG2</t>
  </si>
  <si>
    <t>P01860_IGHG3</t>
  </si>
  <si>
    <t>P01861_IGHG4</t>
  </si>
  <si>
    <t>P01871_IGHM</t>
  </si>
  <si>
    <t>P01876_IGHA1</t>
  </si>
  <si>
    <t>P01877_IGHA2</t>
  </si>
  <si>
    <t>P01889_HLA-B</t>
  </si>
  <si>
    <t>P01903_HLA-DRA</t>
  </si>
  <si>
    <t>P02462-2_COL4A1</t>
  </si>
  <si>
    <t>P02545-2_LMNA</t>
  </si>
  <si>
    <t>P02647_APOA1</t>
  </si>
  <si>
    <t>P02649_APOE</t>
  </si>
  <si>
    <t>P02652_APOA2</t>
  </si>
  <si>
    <t>P02671-2_FGA</t>
  </si>
  <si>
    <t>P02675_FGB</t>
  </si>
  <si>
    <t>P02743_APCS</t>
  </si>
  <si>
    <t>P02748_C9</t>
  </si>
  <si>
    <t>P02749_APOH</t>
  </si>
  <si>
    <t>P02750_LRG1</t>
  </si>
  <si>
    <t>P02751-5_FN1</t>
  </si>
  <si>
    <t>P02760_AMBP</t>
  </si>
  <si>
    <t>P02763_ORM1</t>
  </si>
  <si>
    <t>P02765_AHSG</t>
  </si>
  <si>
    <t>P02766_TTR</t>
  </si>
  <si>
    <t>P02774_GC</t>
  </si>
  <si>
    <t>P02778_CXCL10</t>
  </si>
  <si>
    <t>P02787_TF</t>
  </si>
  <si>
    <t>P02788_LTF</t>
  </si>
  <si>
    <t>P02790_HPX</t>
  </si>
  <si>
    <t>P02792_FTL</t>
  </si>
  <si>
    <t>P02794_FTH1</t>
  </si>
  <si>
    <t>P02810_PRH1</t>
  </si>
  <si>
    <t>P02814_SMR3B</t>
  </si>
  <si>
    <t>P03950_ANG</t>
  </si>
  <si>
    <t>P04003_C4BPA</t>
  </si>
  <si>
    <t>P04004_VTN</t>
  </si>
  <si>
    <t>P04040_CAT</t>
  </si>
  <si>
    <t>P04066_FUCA1</t>
  </si>
  <si>
    <t>P04080_CSTB</t>
  </si>
  <si>
    <t>P04114_APOB</t>
  </si>
  <si>
    <t>P04196_HRG</t>
  </si>
  <si>
    <t>P04207_</t>
  </si>
  <si>
    <t>P04208_</t>
  </si>
  <si>
    <t>P04209_</t>
  </si>
  <si>
    <t>P04211_</t>
  </si>
  <si>
    <t>P04217_A1BG</t>
  </si>
  <si>
    <t>P04271_S100B</t>
  </si>
  <si>
    <t>P04279-2_SEMG1</t>
  </si>
  <si>
    <t>P04406_GAPDH</t>
  </si>
  <si>
    <t>P04424-3_ASL</t>
  </si>
  <si>
    <t>P04430_</t>
  </si>
  <si>
    <t>P04433_</t>
  </si>
  <si>
    <t>P04438_</t>
  </si>
  <si>
    <t>P04745_AMY1A</t>
  </si>
  <si>
    <t>P04792_HSPB1</t>
  </si>
  <si>
    <t>P05067-7_APP</t>
  </si>
  <si>
    <t>P05109_S100A8</t>
  </si>
  <si>
    <t>P05154_SERPINA5</t>
  </si>
  <si>
    <t>P05160_F13B</t>
  </si>
  <si>
    <t>P05164-2_MPO</t>
  </si>
  <si>
    <t>P05186-2_ALPL</t>
  </si>
  <si>
    <t>P05362_ICAM1</t>
  </si>
  <si>
    <t>P05387_RPLP2</t>
  </si>
  <si>
    <t>P05413_FABP3</t>
  </si>
  <si>
    <t>P05543_SERPINA7</t>
  </si>
  <si>
    <t>P05546_SERPIND1</t>
  </si>
  <si>
    <t>P05814_CSN2</t>
  </si>
  <si>
    <t>P06310_</t>
  </si>
  <si>
    <t>P06311_</t>
  </si>
  <si>
    <t>P06312_IGKV4-1</t>
  </si>
  <si>
    <t>P06318_</t>
  </si>
  <si>
    <t>P06331_</t>
  </si>
  <si>
    <t>P06396-2_GSN</t>
  </si>
  <si>
    <t>P06681_C2</t>
  </si>
  <si>
    <t>P06702_S100A9</t>
  </si>
  <si>
    <t>P06727_APOA4</t>
  </si>
  <si>
    <t>P06733_ENO1</t>
  </si>
  <si>
    <t>P06744_GPI</t>
  </si>
  <si>
    <t>P06858_LPL</t>
  </si>
  <si>
    <t>P07093-2_SERPINE2</t>
  </si>
  <si>
    <t>P07108_DBI</t>
  </si>
  <si>
    <t>P07195_LDHB</t>
  </si>
  <si>
    <t>P07203_GPX1</t>
  </si>
  <si>
    <t>P07237_P4HB</t>
  </si>
  <si>
    <t>P07339_CTSD</t>
  </si>
  <si>
    <t>P07357_C8A</t>
  </si>
  <si>
    <t>P07358_C8B</t>
  </si>
  <si>
    <t>P07360_C8G</t>
  </si>
  <si>
    <t>P07384_CAPN1</t>
  </si>
  <si>
    <t>P07498_CSN3</t>
  </si>
  <si>
    <t>P07686_HEXB</t>
  </si>
  <si>
    <t>P07737_PFN1</t>
  </si>
  <si>
    <t>P07814_EPRS</t>
  </si>
  <si>
    <t>P07858_CTSB</t>
  </si>
  <si>
    <t>P07900_HSP90AA1</t>
  </si>
  <si>
    <t>P07902_GALT</t>
  </si>
  <si>
    <t>P07948-2_LYN</t>
  </si>
  <si>
    <t>P07954-2_FH</t>
  </si>
  <si>
    <t>P07998_RNASE1</t>
  </si>
  <si>
    <t>P08107_HSPA1A</t>
  </si>
  <si>
    <t>P08123_COL1A2</t>
  </si>
  <si>
    <t>P08185_SERPINA6</t>
  </si>
  <si>
    <t>P08238_HSP90AB1</t>
  </si>
  <si>
    <t>P08253-2_MMP2</t>
  </si>
  <si>
    <t>P08294_SOD3</t>
  </si>
  <si>
    <t>P08311_CTSG</t>
  </si>
  <si>
    <t>P08493_MGP</t>
  </si>
  <si>
    <t>P08571_CD14</t>
  </si>
  <si>
    <t>P08572_COL4A2</t>
  </si>
  <si>
    <t>P08582-2_MFI2</t>
  </si>
  <si>
    <t>P08603_CFH</t>
  </si>
  <si>
    <t>P08697_SERPINF2</t>
  </si>
  <si>
    <t>P08754_GNAI3</t>
  </si>
  <si>
    <t>P09237_MMP7</t>
  </si>
  <si>
    <t>P09341_CXCL1</t>
  </si>
  <si>
    <t>P09382_LGALS1</t>
  </si>
  <si>
    <t>P09467_FBP1</t>
  </si>
  <si>
    <t>P09493-4_TPM1</t>
  </si>
  <si>
    <t>P09543-2_CNP</t>
  </si>
  <si>
    <t>P09603_CSF1</t>
  </si>
  <si>
    <t>P09668_CTSH</t>
  </si>
  <si>
    <t>P09758_TACSTD2</t>
  </si>
  <si>
    <t>P09871_C1S</t>
  </si>
  <si>
    <t>P09960_LTA4H</t>
  </si>
  <si>
    <t>P0C091_FREM3</t>
  </si>
  <si>
    <t>P0C0L4_C4A</t>
  </si>
  <si>
    <t>P0C0L5_C4B</t>
  </si>
  <si>
    <t>P0CG05_IGLC2</t>
  </si>
  <si>
    <t>P0DJI8_SAA1</t>
  </si>
  <si>
    <t>P0DJI9_SAA2</t>
  </si>
  <si>
    <t>P10253_GAA</t>
  </si>
  <si>
    <t>P10301_RRAS</t>
  </si>
  <si>
    <t>P10451-2_SPP1</t>
  </si>
  <si>
    <t>P10451-4_SPP1</t>
  </si>
  <si>
    <t>P10451-5_SPP1</t>
  </si>
  <si>
    <t>P10586-2_PTPRF</t>
  </si>
  <si>
    <t>P10599_TXN</t>
  </si>
  <si>
    <t>P10619_CTSA</t>
  </si>
  <si>
    <t>P10643_C7</t>
  </si>
  <si>
    <t>P10644_PRKAR1A</t>
  </si>
  <si>
    <t>P10721-3_KIT</t>
  </si>
  <si>
    <t>P10809_HSPD1</t>
  </si>
  <si>
    <t>P10909-4_CLU</t>
  </si>
  <si>
    <t>P11021_HSPA5</t>
  </si>
  <si>
    <t>P11047_LAMC1</t>
  </si>
  <si>
    <t>P11142_HSPA8</t>
  </si>
  <si>
    <t>P11172-2_UMPS</t>
  </si>
  <si>
    <t>P11216_PYGB</t>
  </si>
  <si>
    <t>P11279_LAMP1</t>
  </si>
  <si>
    <t>P11413_G6PD</t>
  </si>
  <si>
    <t>P11678_EPX</t>
  </si>
  <si>
    <t>P11717_IGF2R</t>
  </si>
  <si>
    <t>P11766_ADH5</t>
  </si>
  <si>
    <t>P11908_PRPS2</t>
  </si>
  <si>
    <t>P11940-2_PABPC1</t>
  </si>
  <si>
    <t>P12109_COL6A1</t>
  </si>
  <si>
    <t>P12259_F5</t>
  </si>
  <si>
    <t>P12273_PIP</t>
  </si>
  <si>
    <t>P12814-2_ACTN1</t>
  </si>
  <si>
    <t>P12821_ACE</t>
  </si>
  <si>
    <t>P13284_IFI30</t>
  </si>
  <si>
    <t>P13489_RNH1</t>
  </si>
  <si>
    <t>P13497-4_BMP1</t>
  </si>
  <si>
    <t>P13639_EEF2</t>
  </si>
  <si>
    <t>P13667_PDIA4</t>
  </si>
  <si>
    <t>P13671_C6</t>
  </si>
  <si>
    <t>P13726-2_F3</t>
  </si>
  <si>
    <t>P13760_HLA-DRB1</t>
  </si>
  <si>
    <t>P13762_HLA-DRB4</t>
  </si>
  <si>
    <t>P13796_LCP1</t>
  </si>
  <si>
    <t>P13866_SLC5A1</t>
  </si>
  <si>
    <t>P14174_MIF</t>
  </si>
  <si>
    <t>P14324-2_FDPS</t>
  </si>
  <si>
    <t>P14543-2_NID1</t>
  </si>
  <si>
    <t>P14550_AKR1A1</t>
  </si>
  <si>
    <t>P14618_PKM</t>
  </si>
  <si>
    <t>P14621_ACYP2</t>
  </si>
  <si>
    <t>P14625_HSP90B1</t>
  </si>
  <si>
    <t>P14735_IDE</t>
  </si>
  <si>
    <t>P14923_JUP</t>
  </si>
  <si>
    <t>P15086_CPB1</t>
  </si>
  <si>
    <t>P15090_FABP4</t>
  </si>
  <si>
    <t>P15104_GLUL</t>
  </si>
  <si>
    <t>P15144_ANPEP</t>
  </si>
  <si>
    <t>P15151-3_PVR</t>
  </si>
  <si>
    <t>P15169_CPN1</t>
  </si>
  <si>
    <t>P15170-2_GSPT1</t>
  </si>
  <si>
    <t>P15289_ARSA</t>
  </si>
  <si>
    <t>P15291-2_B4GALT1</t>
  </si>
  <si>
    <t>P15311_EZR</t>
  </si>
  <si>
    <t>P15328_FOLR1</t>
  </si>
  <si>
    <t>P15374_UCHL3</t>
  </si>
  <si>
    <t>P15509-3_CSF2RA</t>
  </si>
  <si>
    <t>P15529-16_CD46</t>
  </si>
  <si>
    <t>P15814_IGLL1</t>
  </si>
  <si>
    <t>P15924-2_DSP</t>
  </si>
  <si>
    <t>P15941-13_MUC1</t>
  </si>
  <si>
    <t>P16035_TIMP2</t>
  </si>
  <si>
    <t>P16152_CBR1</t>
  </si>
  <si>
    <t>P16278-3_GLB1</t>
  </si>
  <si>
    <t>P16284-3_PECAM1</t>
  </si>
  <si>
    <t>P16401_HIST1H1B</t>
  </si>
  <si>
    <t>P16403_HIST1H1C</t>
  </si>
  <si>
    <t>P16444_DPEP1</t>
  </si>
  <si>
    <t>P16989-2_YBX3</t>
  </si>
  <si>
    <t>P17050_NAGA</t>
  </si>
  <si>
    <t>P17066_HSPA6</t>
  </si>
  <si>
    <t>P17174_GOT1</t>
  </si>
  <si>
    <t>P17655_CAPN2</t>
  </si>
  <si>
    <t>P17813-2_ENG</t>
  </si>
  <si>
    <t>P17858_PFKL</t>
  </si>
  <si>
    <t>P17900_GM2A</t>
  </si>
  <si>
    <t>P17931_LGALS3</t>
  </si>
  <si>
    <t>P17936_IGFBP3</t>
  </si>
  <si>
    <t>P17987_TCP1</t>
  </si>
  <si>
    <t>P18065_IGFBP2</t>
  </si>
  <si>
    <t>P18085_ARF4</t>
  </si>
  <si>
    <t>P18135_</t>
  </si>
  <si>
    <t>P18206-2_VCL</t>
  </si>
  <si>
    <t>P18428_LBP</t>
  </si>
  <si>
    <t>P18510_IL1RN</t>
  </si>
  <si>
    <t>P18669_PGAM1</t>
  </si>
  <si>
    <t>P18827_SDC1</t>
  </si>
  <si>
    <t>P18850_ATF6</t>
  </si>
  <si>
    <t>P19021-2_PAM</t>
  </si>
  <si>
    <t>P19320_VCAM1</t>
  </si>
  <si>
    <t>P19440_GGT1</t>
  </si>
  <si>
    <t>P19623_SRM</t>
  </si>
  <si>
    <t>P19652_ORM2</t>
  </si>
  <si>
    <t>P19827_ITIH1</t>
  </si>
  <si>
    <t>P19835_CEL</t>
  </si>
  <si>
    <t>P19875_CXCL2</t>
  </si>
  <si>
    <t>P20039_HLA-DRB1</t>
  </si>
  <si>
    <t>P20061_TCN1</t>
  </si>
  <si>
    <t>P20336_RAB3A</t>
  </si>
  <si>
    <t>P20618_PSMB1</t>
  </si>
  <si>
    <t>P20742_PZP</t>
  </si>
  <si>
    <t>P20774_OGN</t>
  </si>
  <si>
    <t>P20827_EFNA1</t>
  </si>
  <si>
    <t>P20851-2_C4BPB</t>
  </si>
  <si>
    <t>P20933_AGA</t>
  </si>
  <si>
    <t>P21281_ATP6V1B2</t>
  </si>
  <si>
    <t>P21399_ACO1</t>
  </si>
  <si>
    <t>P21695-2_GPD1</t>
  </si>
  <si>
    <t>P21964-2_COMT</t>
  </si>
  <si>
    <t>P22059_OSBP</t>
  </si>
  <si>
    <t>P22079_LPO</t>
  </si>
  <si>
    <t>P22102_GART</t>
  </si>
  <si>
    <t>P22223-2_CDH3</t>
  </si>
  <si>
    <t>P22304_IDS</t>
  </si>
  <si>
    <t>P22307-4_SCP2</t>
  </si>
  <si>
    <t>P22314_UBA1</t>
  </si>
  <si>
    <t>P22352_GPX3</t>
  </si>
  <si>
    <t>P22626-2_HNRNPA2B1</t>
  </si>
  <si>
    <t>P22674_CCNO</t>
  </si>
  <si>
    <t>P22676_CALB2</t>
  </si>
  <si>
    <t>P22792_CPN2</t>
  </si>
  <si>
    <t>P22897_MRC1</t>
  </si>
  <si>
    <t>P23083_</t>
  </si>
  <si>
    <t>P23280_CA6</t>
  </si>
  <si>
    <t>P23280-2_CA6</t>
  </si>
  <si>
    <t>P23284_PPIB</t>
  </si>
  <si>
    <t>P23297_S100A1</t>
  </si>
  <si>
    <t>P23381_WARS</t>
  </si>
  <si>
    <t>P23396_RPS3</t>
  </si>
  <si>
    <t>P23526_AHCY</t>
  </si>
  <si>
    <t>P23786_CPT2</t>
  </si>
  <si>
    <t>P24043_LAMA2</t>
  </si>
  <si>
    <t>P24158_PRTN3</t>
  </si>
  <si>
    <t>P24298_GPT</t>
  </si>
  <si>
    <t>P24534_EEF1B2</t>
  </si>
  <si>
    <t>P24593_IGFBP5</t>
  </si>
  <si>
    <t>P24821_TNC</t>
  </si>
  <si>
    <t>P25311_AZGP1</t>
  </si>
  <si>
    <t>P25325_MPST</t>
  </si>
  <si>
    <t>P25398_RPS12</t>
  </si>
  <si>
    <t>P25445-6_FAS</t>
  </si>
  <si>
    <t>P25686_DNAJB2</t>
  </si>
  <si>
    <t>P25774_CTSS</t>
  </si>
  <si>
    <t>P25786_PSMA1</t>
  </si>
  <si>
    <t>P25787_PSMA2</t>
  </si>
  <si>
    <t>P25788-2_PSMA3</t>
  </si>
  <si>
    <t>P25815_S100P</t>
  </si>
  <si>
    <t>P25940_COL5A3</t>
  </si>
  <si>
    <t>P26038_MSN</t>
  </si>
  <si>
    <t>P26447_S100A4</t>
  </si>
  <si>
    <t>P26572_MGAT1</t>
  </si>
  <si>
    <t>P26639_TARS</t>
  </si>
  <si>
    <t>P26641_EEF1G</t>
  </si>
  <si>
    <t>P26885_FKBP2</t>
  </si>
  <si>
    <t>P26992_CNTFR</t>
  </si>
  <si>
    <t>P27169_PON1</t>
  </si>
  <si>
    <t>P27348_YWHAQ</t>
  </si>
  <si>
    <t>P27469_G0S2</t>
  </si>
  <si>
    <t>P27482_CALML3</t>
  </si>
  <si>
    <t>P27797_CALR</t>
  </si>
  <si>
    <t>P27824_CANX</t>
  </si>
  <si>
    <t>P28062-2_PSMB8</t>
  </si>
  <si>
    <t>P28066_PSMA5</t>
  </si>
  <si>
    <t>P28070_PSMB4</t>
  </si>
  <si>
    <t>P28072_PSMB6</t>
  </si>
  <si>
    <t>P28074_PSMB5</t>
  </si>
  <si>
    <t>P28799_GRN</t>
  </si>
  <si>
    <t>P28838-2_LAP3</t>
  </si>
  <si>
    <t>P29218_IMPA1</t>
  </si>
  <si>
    <t>P29373_CRABP2</t>
  </si>
  <si>
    <t>P29401_TKT</t>
  </si>
  <si>
    <t>P29622_SERPINA4</t>
  </si>
  <si>
    <t>P29762_CRABP1</t>
  </si>
  <si>
    <t>P29966_MARCKS</t>
  </si>
  <si>
    <t>P30040_ERP29</t>
  </si>
  <si>
    <t>P30041_PRDX6</t>
  </si>
  <si>
    <t>P30043_BLVRB</t>
  </si>
  <si>
    <t>P30044_PRDX5</t>
  </si>
  <si>
    <t>P30050_RPL12</t>
  </si>
  <si>
    <t>P30086_PEBP1</t>
  </si>
  <si>
    <t>P30419-2_NMT1</t>
  </si>
  <si>
    <t>P30455_HLA-A</t>
  </si>
  <si>
    <t>P30520_ADSS</t>
  </si>
  <si>
    <t>P30533_LRPAP1</t>
  </si>
  <si>
    <t>P30740_SERPINB1</t>
  </si>
  <si>
    <t>P31146_CORO1A</t>
  </si>
  <si>
    <t>P31150_GDI1</t>
  </si>
  <si>
    <t>P31323_PRKAR2B</t>
  </si>
  <si>
    <t>P31431-2_SDC4</t>
  </si>
  <si>
    <t>P31937_HIBADH</t>
  </si>
  <si>
    <t>P31944_CASP14</t>
  </si>
  <si>
    <t>P31946-2_YWHAB</t>
  </si>
  <si>
    <t>P31947-2_SFN</t>
  </si>
  <si>
    <t>P31948_STIP1</t>
  </si>
  <si>
    <t>P31949_S100A11</t>
  </si>
  <si>
    <t>P32119_PRDX2</t>
  </si>
  <si>
    <t>P32455_GBP1</t>
  </si>
  <si>
    <t>P32929-3_CTH</t>
  </si>
  <si>
    <t>P33121-2_ACSL1</t>
  </si>
  <si>
    <t>P33176_KIF5B</t>
  </si>
  <si>
    <t>P33908_MAN1A1</t>
  </si>
  <si>
    <t>P34096_RNASE4</t>
  </si>
  <si>
    <t>P34896-2_SHMT1</t>
  </si>
  <si>
    <t>P34932_HSPA4</t>
  </si>
  <si>
    <t>P35237_SERPINB6</t>
  </si>
  <si>
    <t>P35241_RDX</t>
  </si>
  <si>
    <t>P35270_SPR</t>
  </si>
  <si>
    <t>P35542_SAA4</t>
  </si>
  <si>
    <t>P35579_MYH9</t>
  </si>
  <si>
    <t>P35590_TIE1</t>
  </si>
  <si>
    <t>P35613-3_BSG</t>
  </si>
  <si>
    <t>P35754_GLRX</t>
  </si>
  <si>
    <t>P35813_PPM1A</t>
  </si>
  <si>
    <t>P35858_IGFALS</t>
  </si>
  <si>
    <t>P35998_PSMC2</t>
  </si>
  <si>
    <t>P36222_CHI3L1</t>
  </si>
  <si>
    <t>P36578_RPL4</t>
  </si>
  <si>
    <t>P36871_PGM1</t>
  </si>
  <si>
    <t>P36955_SERPINF1</t>
  </si>
  <si>
    <t>P36980-2_CFHR2</t>
  </si>
  <si>
    <t>P37802_TAGLN2</t>
  </si>
  <si>
    <t>P38646_HSPA9</t>
  </si>
  <si>
    <t>P40121-2_CAPG</t>
  </si>
  <si>
    <t>P40189-3_IL6ST</t>
  </si>
  <si>
    <t>P40227-2_CCT6A</t>
  </si>
  <si>
    <t>P40306_PSMB10</t>
  </si>
  <si>
    <t>P40617_ARL4A</t>
  </si>
  <si>
    <t>P40925_MDH1</t>
  </si>
  <si>
    <t>P41091_EIF2S3</t>
  </si>
  <si>
    <t>P41236_PPP1R2</t>
  </si>
  <si>
    <t>P41250_GARS</t>
  </si>
  <si>
    <t>P42025_ACTR1B</t>
  </si>
  <si>
    <t>P42330_AKR1C3</t>
  </si>
  <si>
    <t>P42574_CASP3</t>
  </si>
  <si>
    <t>P42785_PRCP</t>
  </si>
  <si>
    <t>P43034_PAFAH1B1</t>
  </si>
  <si>
    <t>P43121_MCAM</t>
  </si>
  <si>
    <t>P43490_NAMPT</t>
  </si>
  <si>
    <t>P43652_AFM</t>
  </si>
  <si>
    <t>P43686_PSMC4</t>
  </si>
  <si>
    <t>P45381_ASPA</t>
  </si>
  <si>
    <t>P45877_PPIC</t>
  </si>
  <si>
    <t>P45974-2_USP5</t>
  </si>
  <si>
    <t>P46108-2_CRK</t>
  </si>
  <si>
    <t>P46781_RPS9</t>
  </si>
  <si>
    <t>P46783_RPS10</t>
  </si>
  <si>
    <t>P46940_IQGAP1</t>
  </si>
  <si>
    <t>P47710-2_CSN1S1</t>
  </si>
  <si>
    <t>P47710-3_CSN1S1</t>
  </si>
  <si>
    <t>P47755_CAPZA2</t>
  </si>
  <si>
    <t>P47895_ALDH1A3</t>
  </si>
  <si>
    <t>P47914_RPL29</t>
  </si>
  <si>
    <t>P47989_XDH</t>
  </si>
  <si>
    <t>P48163_ME1</t>
  </si>
  <si>
    <t>P48449-2_LSS</t>
  </si>
  <si>
    <t>P48506_GCLC</t>
  </si>
  <si>
    <t>P48637_GSS</t>
  </si>
  <si>
    <t>P48723_HSPA13</t>
  </si>
  <si>
    <t>P48739_PITPNB</t>
  </si>
  <si>
    <t>P48740_MASP1</t>
  </si>
  <si>
    <t>P49006_MARCKSL1</t>
  </si>
  <si>
    <t>P49189_ALDH9A1</t>
  </si>
  <si>
    <t>P49257_LMAN1</t>
  </si>
  <si>
    <t>P49281-3_SLC11A2</t>
  </si>
  <si>
    <t>P49327_FASN</t>
  </si>
  <si>
    <t>P49407-2_ARRB1</t>
  </si>
  <si>
    <t>P49419-2_ALDH7A1</t>
  </si>
  <si>
    <t>P49458_SRP9</t>
  </si>
  <si>
    <t>P49588_AARS</t>
  </si>
  <si>
    <t>P49720_PSMB3</t>
  </si>
  <si>
    <t>P49721_PSMB2</t>
  </si>
  <si>
    <t>P49746_THBS3</t>
  </si>
  <si>
    <t>P49755_TMED10</t>
  </si>
  <si>
    <t>P49773_HINT1</t>
  </si>
  <si>
    <t>P49788-2_RARRES1</t>
  </si>
  <si>
    <t>P49789_FHIT</t>
  </si>
  <si>
    <t>P50135_HNMT</t>
  </si>
  <si>
    <t>P50148_GNAQ</t>
  </si>
  <si>
    <t>P50502_ST13</t>
  </si>
  <si>
    <t>P50591_TNFSF10</t>
  </si>
  <si>
    <t>P50749_RASSF2</t>
  </si>
  <si>
    <t>P50897_PPT1</t>
  </si>
  <si>
    <t>P51148_RAB5C</t>
  </si>
  <si>
    <t>P51149_RAB7A</t>
  </si>
  <si>
    <t>P51151_RAB9A</t>
  </si>
  <si>
    <t>P51153_RAB13</t>
  </si>
  <si>
    <t>P51511_MMP15</t>
  </si>
  <si>
    <t>P51580_TPMT</t>
  </si>
  <si>
    <t>P51688_SGSH</t>
  </si>
  <si>
    <t>P51884_LUM</t>
  </si>
  <si>
    <t>P51993_FUT6</t>
  </si>
  <si>
    <t>P52306-4_RAP1GDS1</t>
  </si>
  <si>
    <t>P52758_HRSP12</t>
  </si>
  <si>
    <t>P52907_CAPZA1</t>
  </si>
  <si>
    <t>P53367_ARFIP1</t>
  </si>
  <si>
    <t>P53396_ACLY</t>
  </si>
  <si>
    <t>P53602_MVD</t>
  </si>
  <si>
    <t>P53634_CTSC</t>
  </si>
  <si>
    <t>P53990-2_IST1</t>
  </si>
  <si>
    <t>P54136-2_RARS</t>
  </si>
  <si>
    <t>P54289_CACNA2D1</t>
  </si>
  <si>
    <t>P54577_YARS</t>
  </si>
  <si>
    <t>P54727_RAD23B</t>
  </si>
  <si>
    <t>P54802_NAGLU</t>
  </si>
  <si>
    <t>P55001-3_MFAP2</t>
  </si>
  <si>
    <t>P55072_VCP</t>
  </si>
  <si>
    <t>P55145_MANF</t>
  </si>
  <si>
    <t>P55210-4_CASP7</t>
  </si>
  <si>
    <t>P55212_CASP6</t>
  </si>
  <si>
    <t>P55268_LAMB2</t>
  </si>
  <si>
    <t>P55290-3_CDH13</t>
  </si>
  <si>
    <t>P55884_EIF3B</t>
  </si>
  <si>
    <t>P55957_BID</t>
  </si>
  <si>
    <t>P56537_EIF6</t>
  </si>
  <si>
    <t>P57735_RAB25</t>
  </si>
  <si>
    <t>P58107_EPPK1</t>
  </si>
  <si>
    <t>P58546_MTPN</t>
  </si>
  <si>
    <t>P60022_DEFB1</t>
  </si>
  <si>
    <t>P60174-1_TPI1</t>
  </si>
  <si>
    <t>P60842_EIF4A1</t>
  </si>
  <si>
    <t>P60866_RPS20</t>
  </si>
  <si>
    <t>P60953_CDC42</t>
  </si>
  <si>
    <t>P60981_DSTN</t>
  </si>
  <si>
    <t>P61006_RAB8A</t>
  </si>
  <si>
    <t>P61009_SPCS3</t>
  </si>
  <si>
    <t>P61011-2_SRP54</t>
  </si>
  <si>
    <t>P61019_RAB2A</t>
  </si>
  <si>
    <t>P61020_RAB5B</t>
  </si>
  <si>
    <t>P61026_RAB10</t>
  </si>
  <si>
    <t>P61077_UBE2D3</t>
  </si>
  <si>
    <t>P61081_UBE2M</t>
  </si>
  <si>
    <t>P61088_UBE2N</t>
  </si>
  <si>
    <t>P61106_RAB14</t>
  </si>
  <si>
    <t>P61158_ACTR3</t>
  </si>
  <si>
    <t>P61160_ACTR2</t>
  </si>
  <si>
    <t>P61224_RAP1B</t>
  </si>
  <si>
    <t>P61225_RAP2B</t>
  </si>
  <si>
    <t>P61353_RPL27</t>
  </si>
  <si>
    <t>P61457_PCBD1</t>
  </si>
  <si>
    <t>P61586_RHOA</t>
  </si>
  <si>
    <t>P61604_HSPE1</t>
  </si>
  <si>
    <t>P61626_LYZ</t>
  </si>
  <si>
    <t>P61764_STXBP1</t>
  </si>
  <si>
    <t>P61812_TGFB2</t>
  </si>
  <si>
    <t>P61981_YWHAG</t>
  </si>
  <si>
    <t>P62070_RRAS2</t>
  </si>
  <si>
    <t>P62140_PPP1CB</t>
  </si>
  <si>
    <t>P62191_PSMC1</t>
  </si>
  <si>
    <t>P62195-2_PSMC5</t>
  </si>
  <si>
    <t>P62258_YWHAE</t>
  </si>
  <si>
    <t>P62263_RPS14</t>
  </si>
  <si>
    <t>P62328_TMSB4X</t>
  </si>
  <si>
    <t>P62330_ARF6</t>
  </si>
  <si>
    <t>P62333_PSMC6</t>
  </si>
  <si>
    <t>P62424_RPL7A</t>
  </si>
  <si>
    <t>P62701_RPS4X</t>
  </si>
  <si>
    <t>P62745_RHOB</t>
  </si>
  <si>
    <t>P62753_RPS6</t>
  </si>
  <si>
    <t>P62805_HIST1H4A</t>
  </si>
  <si>
    <t>P62820_RAB1A</t>
  </si>
  <si>
    <t>P62834_RAP1A</t>
  </si>
  <si>
    <t>P62851_RPS25</t>
  </si>
  <si>
    <t>P62854_RPS26</t>
  </si>
  <si>
    <t>P62857_RPS28</t>
  </si>
  <si>
    <t>P62873_GNB1</t>
  </si>
  <si>
    <t>P62879_GNB2</t>
  </si>
  <si>
    <t>P62906_RPL10A</t>
  </si>
  <si>
    <t>P62937_PPIA</t>
  </si>
  <si>
    <t>P62942_FKBP1A</t>
  </si>
  <si>
    <t>P62979_RPS27A</t>
  </si>
  <si>
    <t>P62993_GRB2</t>
  </si>
  <si>
    <t>P63000_RAC1</t>
  </si>
  <si>
    <t>P63092-3_GNAS</t>
  </si>
  <si>
    <t>P63104_YWHAZ</t>
  </si>
  <si>
    <t>P63218_GNG5</t>
  </si>
  <si>
    <t>P63244_GNB2L1</t>
  </si>
  <si>
    <t>P63261_ACTG1</t>
  </si>
  <si>
    <t>P63267_ACTG2</t>
  </si>
  <si>
    <t>P67936_TPM4</t>
  </si>
  <si>
    <t>P67936-2_TPM4</t>
  </si>
  <si>
    <t>P68036-2_UBE2L3</t>
  </si>
  <si>
    <t>P68371_TUBB4B</t>
  </si>
  <si>
    <t>P68871_HBB</t>
  </si>
  <si>
    <t>P69905_HBA1</t>
  </si>
  <si>
    <t>P78324_SIRPA</t>
  </si>
  <si>
    <t>P78371-2_CCT2</t>
  </si>
  <si>
    <t>P78410-3_BTN3A2</t>
  </si>
  <si>
    <t>P78417_GSTO1</t>
  </si>
  <si>
    <t>P80108_GPLD1</t>
  </si>
  <si>
    <t>P80303-2_NUCB2</t>
  </si>
  <si>
    <t>P80748_</t>
  </si>
  <si>
    <t>P81605_DCD</t>
  </si>
  <si>
    <t>P84077_ARF1</t>
  </si>
  <si>
    <t>P84085_ARF5</t>
  </si>
  <si>
    <t>P98082-2_DAB2</t>
  </si>
  <si>
    <t>P98160_HSPG2</t>
  </si>
  <si>
    <t>P98164_LRP2</t>
  </si>
  <si>
    <t>P98174_FGD1</t>
  </si>
  <si>
    <t>Q00577_PURA</t>
  </si>
  <si>
    <t>Q00610-2_CLTC</t>
  </si>
  <si>
    <t>Q00688_FKBP3</t>
  </si>
  <si>
    <t>Q01082_SPTBN1</t>
  </si>
  <si>
    <t>Q01105-3_SET</t>
  </si>
  <si>
    <t>Q01459_CTBS</t>
  </si>
  <si>
    <t>Q01518-2_CAP1</t>
  </si>
  <si>
    <t>Q01970-2_PLCB3</t>
  </si>
  <si>
    <t>Q01973-3_ROR1</t>
  </si>
  <si>
    <t>Q02383_SEMG2</t>
  </si>
  <si>
    <t>Q02413_DSG1</t>
  </si>
  <si>
    <t>Q02487-2_DSC2</t>
  </si>
  <si>
    <t>Q02750_MAP2K1</t>
  </si>
  <si>
    <t>Q02790_FKBP4</t>
  </si>
  <si>
    <t>Q02809_PLOD1</t>
  </si>
  <si>
    <t>Q02818_NUCB1</t>
  </si>
  <si>
    <t>Q02985-2_CFHR3</t>
  </si>
  <si>
    <t>Q03167-2_TGFBR3</t>
  </si>
  <si>
    <t>Q03405-3_PLAUR</t>
  </si>
  <si>
    <t>Q03591_CFHR1</t>
  </si>
  <si>
    <t>Q04609-6_FOLH1</t>
  </si>
  <si>
    <t>Q04760-2_GLO1</t>
  </si>
  <si>
    <t>Q04917_YWHAH</t>
  </si>
  <si>
    <t>Q05707-3_COL14A1</t>
  </si>
  <si>
    <t>Q06033-2_ITIH3</t>
  </si>
  <si>
    <t>Q06210-2_GFPT1</t>
  </si>
  <si>
    <t>Q06481_APLP2</t>
  </si>
  <si>
    <t>Q06828_FMOD</t>
  </si>
  <si>
    <t>Q06830_PRDX1</t>
  </si>
  <si>
    <t>Q07065_CKAP4</t>
  </si>
  <si>
    <t>Q07960_ARHGAP1</t>
  </si>
  <si>
    <t>Q08188_TGM3</t>
  </si>
  <si>
    <t>Q08345-2_DDR1</t>
  </si>
  <si>
    <t>Q08380_LGALS3BP</t>
  </si>
  <si>
    <t>Q08554-2_DSC1</t>
  </si>
  <si>
    <t>Q08722-2_CD47</t>
  </si>
  <si>
    <t>Q09666_AHNAK</t>
  </si>
  <si>
    <t>Q10471_GALNT2</t>
  </si>
  <si>
    <t>Q10567-4_AP1B1</t>
  </si>
  <si>
    <t>Q10589_BST2</t>
  </si>
  <si>
    <t>Q12792_TWF1</t>
  </si>
  <si>
    <t>Q12797-10_ASPH</t>
  </si>
  <si>
    <t>Q12805-2_EFEMP1</t>
  </si>
  <si>
    <t>Q12841_FSTL1</t>
  </si>
  <si>
    <t>Q12904_AIMP1</t>
  </si>
  <si>
    <t>Q12913-2_PTPRJ</t>
  </si>
  <si>
    <t>Q13011_ECH1</t>
  </si>
  <si>
    <t>Q13113_PDZK1IP1</t>
  </si>
  <si>
    <t>Q13155_AIMP2</t>
  </si>
  <si>
    <t>Q13162_PRDX4</t>
  </si>
  <si>
    <t>Q13177_PAK2</t>
  </si>
  <si>
    <t>Q13188_STK3</t>
  </si>
  <si>
    <t>Q13200_PSMD2</t>
  </si>
  <si>
    <t>Q13217_DNAJC3</t>
  </si>
  <si>
    <t>Q13228_SELENBP1</t>
  </si>
  <si>
    <t>Q13232_NME3</t>
  </si>
  <si>
    <t>Q13287_NMI</t>
  </si>
  <si>
    <t>Q13410_BTN1A1</t>
  </si>
  <si>
    <t>Q13438_OS9</t>
  </si>
  <si>
    <t>Q13444-10_ADAM15</t>
  </si>
  <si>
    <t>Q13489_BIRC3</t>
  </si>
  <si>
    <t>Q13630_TSTA3</t>
  </si>
  <si>
    <t>Q13740-2_ALCAM</t>
  </si>
  <si>
    <t>Q13751_LAMB3</t>
  </si>
  <si>
    <t>Q13753-2_LAMC2</t>
  </si>
  <si>
    <t>Q13835-2_PKP1</t>
  </si>
  <si>
    <t>Q13907_IDI1</t>
  </si>
  <si>
    <t>Q14011_CIRBP</t>
  </si>
  <si>
    <t>Q14019_COTL1</t>
  </si>
  <si>
    <t>Q14118_DAG1</t>
  </si>
  <si>
    <t>Q14126_DSG2</t>
  </si>
  <si>
    <t>Q14195_DPYSL3</t>
  </si>
  <si>
    <t>Q14204_DYNC1H1</t>
  </si>
  <si>
    <t>Q14240_EIF4A2</t>
  </si>
  <si>
    <t>Q14247_CTTN</t>
  </si>
  <si>
    <t>Q14435_GALNT3</t>
  </si>
  <si>
    <t>Q14508_WFDC2</t>
  </si>
  <si>
    <t>Q14512_FGFBP1</t>
  </si>
  <si>
    <t>Q14520-2_HABP2</t>
  </si>
  <si>
    <t>Q14558_PRPSAP1</t>
  </si>
  <si>
    <t>Q14624_ITIH4</t>
  </si>
  <si>
    <t>Q14651_PLS1</t>
  </si>
  <si>
    <t>Q14696_MESDC2</t>
  </si>
  <si>
    <t>Q14697_GANAB</t>
  </si>
  <si>
    <t>Q14697-2_GANAB</t>
  </si>
  <si>
    <t>Q14703_MBTPS1</t>
  </si>
  <si>
    <t>Q14766_LTBP1</t>
  </si>
  <si>
    <t>Q14914-2_PTGR1</t>
  </si>
  <si>
    <t>Q14974_KPNB1</t>
  </si>
  <si>
    <t>Q14997_PSME4</t>
  </si>
  <si>
    <t>Q15046_KARS</t>
  </si>
  <si>
    <t>Q15056-2_EIF4H</t>
  </si>
  <si>
    <t>Q15075_EEA1</t>
  </si>
  <si>
    <t>Q15102_PAFAH1B3</t>
  </si>
  <si>
    <t>Q15113_PCOLCE</t>
  </si>
  <si>
    <t>Q15149-7_PLEC</t>
  </si>
  <si>
    <t>Q15181_PPA1</t>
  </si>
  <si>
    <t>Q15223-3_PVRL1</t>
  </si>
  <si>
    <t>Q15274_QPRT</t>
  </si>
  <si>
    <t>Q15293_RCN1</t>
  </si>
  <si>
    <t>Q15365_PCBP1</t>
  </si>
  <si>
    <t>Q15375-4_EPHA7</t>
  </si>
  <si>
    <t>Q15435_PPP1R7</t>
  </si>
  <si>
    <t>Q15485_FCN2</t>
  </si>
  <si>
    <t>Q15599-2_SLC9A3R2</t>
  </si>
  <si>
    <t>Q15738_NSDHL</t>
  </si>
  <si>
    <t>Q15758_SLC1A5</t>
  </si>
  <si>
    <t>Q15782-6_CHI3L2</t>
  </si>
  <si>
    <t>Q15828_CST6</t>
  </si>
  <si>
    <t>Q15833_STXBP2</t>
  </si>
  <si>
    <t>Q15848_ADIPOQ</t>
  </si>
  <si>
    <t>Q15904_ATP6AP1</t>
  </si>
  <si>
    <t>Q15907_RAB11B</t>
  </si>
  <si>
    <t>Q16222-2_UAP1</t>
  </si>
  <si>
    <t>Q16270-2_IGFBP7</t>
  </si>
  <si>
    <t>Q16348-2_SLC15A2</t>
  </si>
  <si>
    <t>Q16363-2_LAMA4</t>
  </si>
  <si>
    <t>Q16401-2_PSMD5</t>
  </si>
  <si>
    <t>Q16555-2_DPYSL2</t>
  </si>
  <si>
    <t>Q16610_ECM1</t>
  </si>
  <si>
    <t>Q16620-2_NTRK2</t>
  </si>
  <si>
    <t>Q16625-5_OCLN</t>
  </si>
  <si>
    <t>Q16651_PRSS8</t>
  </si>
  <si>
    <t>Q16706_MAN2A1</t>
  </si>
  <si>
    <t>Q16787-1_LAMA3</t>
  </si>
  <si>
    <t>Q16851_UGP2</t>
  </si>
  <si>
    <t>Q16851-2_UGP2</t>
  </si>
  <si>
    <t>Q24JP5_TMEM132A</t>
  </si>
  <si>
    <t>Q2I0M4_LRRC26</t>
  </si>
  <si>
    <t>Q31612_HLA-B</t>
  </si>
  <si>
    <t>Q32MZ4-3_LRRFIP1</t>
  </si>
  <si>
    <t>Q32P28_LEPRE1</t>
  </si>
  <si>
    <t>Q32Q12_NME1-NME2</t>
  </si>
  <si>
    <t>Q3LXA3_DAK</t>
  </si>
  <si>
    <t>Q3ZCW2_LGALSL</t>
  </si>
  <si>
    <t>Q53EL6-2_PDCD4</t>
  </si>
  <si>
    <t>Q53FA7_TP53I3</t>
  </si>
  <si>
    <t>Q53H82_LACTB2</t>
  </si>
  <si>
    <t>Q53TN4-3_CYBRD1</t>
  </si>
  <si>
    <t>Q5FBY0_ACPP</t>
  </si>
  <si>
    <t>Q5H8X8_UTS2</t>
  </si>
  <si>
    <t>Q5H9A7_TIMP1</t>
  </si>
  <si>
    <t>Q5HY54_FLNA</t>
  </si>
  <si>
    <t>Q5JP53_TUBB</t>
  </si>
  <si>
    <t>Q5JR95_RPS8</t>
  </si>
  <si>
    <t>Q5JU69_TOR2A</t>
  </si>
  <si>
    <t>Q5QPP3_GALE</t>
  </si>
  <si>
    <t>Q5QPQ1_LYPLA2</t>
  </si>
  <si>
    <t>Q5R3E4_MAPK13</t>
  </si>
  <si>
    <t>Q5RJ85_HLA-G</t>
  </si>
  <si>
    <t>Q5SPY9_NPDC1</t>
  </si>
  <si>
    <t>Q5SRP5_APOM</t>
  </si>
  <si>
    <t>Q5SRQ3_CSNK2B-LY6G5B-1181</t>
  </si>
  <si>
    <t>Q5SY01_PAFAH2</t>
  </si>
  <si>
    <t>Q5T0D2_CMPK1</t>
  </si>
  <si>
    <t>Q5T0N5-3_FNBP1L</t>
  </si>
  <si>
    <t>Q5T123_SH3BGRL3</t>
  </si>
  <si>
    <t>Q5T278_CCBL1</t>
  </si>
  <si>
    <t>Q5T2L0_VTCN1</t>
  </si>
  <si>
    <t>Q5T3N0_ANXA1</t>
  </si>
  <si>
    <t>Q5T446_UROD</t>
  </si>
  <si>
    <t>Q5T4U8_RABGGTB</t>
  </si>
  <si>
    <t>Q5T5C7_SARS</t>
  </si>
  <si>
    <t>Q5T6W2_HNRNPK</t>
  </si>
  <si>
    <t>Q5T749_KPRP</t>
  </si>
  <si>
    <t>Q5T750_XP32</t>
  </si>
  <si>
    <t>Q5T8R3_SLC16A1</t>
  </si>
  <si>
    <t>Q5T946_GRHPR</t>
  </si>
  <si>
    <t>Q5T949_PPP2R4</t>
  </si>
  <si>
    <t>Q5T985_ITIH2</t>
  </si>
  <si>
    <t>Q5T9B7_AK1</t>
  </si>
  <si>
    <t>Q5TAW7_CAB39L</t>
  </si>
  <si>
    <t>Q5TCJ7_SEMA4A</t>
  </si>
  <si>
    <t>Q5TCU6_TLN1</t>
  </si>
  <si>
    <t>Q5TFK1_EIF3I</t>
  </si>
  <si>
    <t>Q5VT82_PCDH9</t>
  </si>
  <si>
    <t>Q5VTE0_EEF1A1P5</t>
  </si>
  <si>
    <t>Q5VU59_TPM3</t>
  </si>
  <si>
    <t>Q5VUC0_OLAH</t>
  </si>
  <si>
    <t>Q5VY30_RBP4</t>
  </si>
  <si>
    <t>Q5VYL6_CFHR5</t>
  </si>
  <si>
    <t>Q5W0A2_ITM2B</t>
  </si>
  <si>
    <t>Q5W0H4_TPT1</t>
  </si>
  <si>
    <t>Q5Y7A7_HLA-DRB1</t>
  </si>
  <si>
    <t>Q66K79_CPZ</t>
  </si>
  <si>
    <t>Q68CR9_DKFZp781B11202</t>
  </si>
  <si>
    <t>Q68D85_NCR3LG1</t>
  </si>
  <si>
    <t>Q6EMK4_VASN</t>
  </si>
  <si>
    <t>Q6GMV3_PTRHD1</t>
  </si>
  <si>
    <t>Q6ICJ4_Em:AP000351.3</t>
  </si>
  <si>
    <t>Q6NSI1_ANKRD26P1</t>
  </si>
  <si>
    <t>Q6P163_APOC2</t>
  </si>
  <si>
    <t>Q6P179-3_ERAP2</t>
  </si>
  <si>
    <t>Q6P4E1-2_CASC4</t>
  </si>
  <si>
    <t>Q6P5S2_C6orf58</t>
  </si>
  <si>
    <t>Q6P6B1_C8orf47</t>
  </si>
  <si>
    <t>Q6PCB0_VWA1</t>
  </si>
  <si>
    <t>Q6UW49_SPESP1</t>
  </si>
  <si>
    <t>Q6UWP8_SBSN</t>
  </si>
  <si>
    <t>Q6UX06_OLFM4</t>
  </si>
  <si>
    <t>Q6UX71_PLXDC2</t>
  </si>
  <si>
    <t>Q6UX72_B3GNT9</t>
  </si>
  <si>
    <t>Q6UXA7_C6orf15</t>
  </si>
  <si>
    <t>Q6UXB2_CXCL17</t>
  </si>
  <si>
    <t>Q6UXI9_NPNT</t>
  </si>
  <si>
    <t>Q6UXU6_TMEM92</t>
  </si>
  <si>
    <t>Q6W4X9_MUC6</t>
  </si>
  <si>
    <t>Q6WN34_CHRDL2</t>
  </si>
  <si>
    <t>Q6WN34-2_CHRDL2</t>
  </si>
  <si>
    <t>Q6X4U4_SOSTDC1</t>
  </si>
  <si>
    <t>Q6YHK3-3_CD109</t>
  </si>
  <si>
    <t>Q6YP21-3_CCBL2</t>
  </si>
  <si>
    <t>Q6ZQN7_SLCO4C1</t>
  </si>
  <si>
    <t>Q6ZVX7_NCCRP1</t>
  </si>
  <si>
    <t>Q6ZWK4_C1orf186</t>
  </si>
  <si>
    <t>Q71U36-2_TUBA1A</t>
  </si>
  <si>
    <t>Q7KZF4_SND1</t>
  </si>
  <si>
    <t>Q7L1Q6-2_BZW1</t>
  </si>
  <si>
    <t>Q7L266_ASRGL1</t>
  </si>
  <si>
    <t>Q7LBR1_CHMP1B</t>
  </si>
  <si>
    <t>Q7Z304_MAMDC2</t>
  </si>
  <si>
    <t>Q7Z404-1_TMC4</t>
  </si>
  <si>
    <t>Q7Z451_AP2B1</t>
  </si>
  <si>
    <t>Q7Z553_MDGA2</t>
  </si>
  <si>
    <t>Q7Z6K5_C15orf38</t>
  </si>
  <si>
    <t>Q7Z6Z7-2_HUWE1</t>
  </si>
  <si>
    <t>Q7Z7H5-3_TMED4</t>
  </si>
  <si>
    <t>Q7Z7M0-2_MEGF8</t>
  </si>
  <si>
    <t>Q7Z7M9_GALNT5</t>
  </si>
  <si>
    <t>Q86SQ4-2_GPR126</t>
  </si>
  <si>
    <t>Q86UP2-2_KTN1</t>
  </si>
  <si>
    <t>Q86UY0_TXNDC5</t>
  </si>
  <si>
    <t>Q86V85_GPR180</t>
  </si>
  <si>
    <t>Q86VP6_CAND1</t>
  </si>
  <si>
    <t>Q86WR0_CCDC25</t>
  </si>
  <si>
    <t>Q86X27-2_RALGPS2</t>
  </si>
  <si>
    <t>Q86Y38_XYLT1</t>
  </si>
  <si>
    <t>Q86Y82_STX12</t>
  </si>
  <si>
    <t>Q8IUX7_AEBP1</t>
  </si>
  <si>
    <t>Q8IV08_PLD3</t>
  </si>
  <si>
    <t>Q8IVY1_C1orf210</t>
  </si>
  <si>
    <t>Q8IXL6_FAM20C</t>
  </si>
  <si>
    <t>Q8IZ07_ANKRD13A</t>
  </si>
  <si>
    <t>Q8IZ21-3_PHACTR4</t>
  </si>
  <si>
    <t>Q8N0X7_SPG20</t>
  </si>
  <si>
    <t>Q8N1G4_LRRC47</t>
  </si>
  <si>
    <t>Q8N271_PROM2</t>
  </si>
  <si>
    <t>Q8N335_GPD1L</t>
  </si>
  <si>
    <t>Q8N387_MUC15</t>
  </si>
  <si>
    <t>Q8N392-2_ARHGAP18</t>
  </si>
  <si>
    <t>Q8N474_SFRP1</t>
  </si>
  <si>
    <t>Q8N8Z6-2_DCBLD1</t>
  </si>
  <si>
    <t>Q8N9U0_TC2N</t>
  </si>
  <si>
    <t>Q8NBF2_NHLRC2</t>
  </si>
  <si>
    <t>Q8NBJ4-2_GOLM1</t>
  </si>
  <si>
    <t>Q8NC51-4_SERBP1</t>
  </si>
  <si>
    <t>Q8NCC3_PLA2G15</t>
  </si>
  <si>
    <t>Q8NCL4_GALNT6</t>
  </si>
  <si>
    <t>Q8NEG4-2_FAM83F</t>
  </si>
  <si>
    <t>Q8NES3-3_LFNG</t>
  </si>
  <si>
    <t>Q8NFL0_B3GNT7</t>
  </si>
  <si>
    <t>Q8NFT8_DNER</t>
  </si>
  <si>
    <t>Q8NFU4_FDCSP</t>
  </si>
  <si>
    <t>Q8NFZ8_CADM4</t>
  </si>
  <si>
    <t>Q8NHG7_SVIP</t>
  </si>
  <si>
    <t>Q8NHM4_TRY6</t>
  </si>
  <si>
    <t>Q8NHP8_PLBD2</t>
  </si>
  <si>
    <t>Q8NI22-2_MCFD2</t>
  </si>
  <si>
    <t>Q8TB96_ITFG1</t>
  </si>
  <si>
    <t>Q8TBP5_FAM174A</t>
  </si>
  <si>
    <t>Q8TEA8_DTD1</t>
  </si>
  <si>
    <t>Q8WUA8_TSKU</t>
  </si>
  <si>
    <t>Q8WUH6_C12orf23</t>
  </si>
  <si>
    <t>Q8WUM4_PDCD6IP</t>
  </si>
  <si>
    <t>Q8WV88_TGFB3</t>
  </si>
  <si>
    <t>Q8WVC2_RPS21</t>
  </si>
  <si>
    <t>Q8WVQ1_CANT1</t>
  </si>
  <si>
    <t>Q8WVY7_UBLCP1</t>
  </si>
  <si>
    <t>Q8WWX8-5_SLC5A11</t>
  </si>
  <si>
    <t>Q8WWX9_SELM</t>
  </si>
  <si>
    <t>Q8WYA0-4_IFT81</t>
  </si>
  <si>
    <t>Q8WYQ7_LGALS9</t>
  </si>
  <si>
    <t>Q8WZA0_LZIC</t>
  </si>
  <si>
    <t>Q8WZA9_IRGQ</t>
  </si>
  <si>
    <t>Q92485_SMPDL3B</t>
  </si>
  <si>
    <t>Q92499_DDX1</t>
  </si>
  <si>
    <t>Q92520_FAM3C</t>
  </si>
  <si>
    <t>Q92597_NDRG1</t>
  </si>
  <si>
    <t>Q92598-2_HSPH1</t>
  </si>
  <si>
    <t>Q92626_PXDN</t>
  </si>
  <si>
    <t>Q92673_SORL1</t>
  </si>
  <si>
    <t>Q92692-2_PVRL2</t>
  </si>
  <si>
    <t>Q92747_ARPC1A</t>
  </si>
  <si>
    <t>Q92820_GGH</t>
  </si>
  <si>
    <t>Q92859-3_NEO1</t>
  </si>
  <si>
    <t>Q92876_KLK6</t>
  </si>
  <si>
    <t>Q92882_OSTF1</t>
  </si>
  <si>
    <t>Q92896_GLG1</t>
  </si>
  <si>
    <t>Q93099_HGD</t>
  </si>
  <si>
    <t>Q95604_HLA-C</t>
  </si>
  <si>
    <t>Q969P0-3_IGSF8</t>
  </si>
  <si>
    <t>Q96A44_SPSB4</t>
  </si>
  <si>
    <t>Q96AG4_LRRC59</t>
  </si>
  <si>
    <t>Q96BA8-2_CREB3L1</t>
  </si>
  <si>
    <t>Q96C19_EFHD2</t>
  </si>
  <si>
    <t>Q96CF2_CHMP4C</t>
  </si>
  <si>
    <t>Q96CN7_ISOC1</t>
  </si>
  <si>
    <t>Q96DA0_ZG16B</t>
  </si>
  <si>
    <t>Q96DE0-3_NUDT16</t>
  </si>
  <si>
    <t>Q96DZ1-2_ERLEC1</t>
  </si>
  <si>
    <t>Q96EU7_C1GALT1C1</t>
  </si>
  <si>
    <t>Q96FE7-4_PIK3IP1</t>
  </si>
  <si>
    <t>Q96FQ6_S100A16</t>
  </si>
  <si>
    <t>Q96G03_PGM2</t>
  </si>
  <si>
    <t>Q96HD1_CRELD1</t>
  </si>
  <si>
    <t>Q96HE7_ERO1L</t>
  </si>
  <si>
    <t>Q96HY6-2_DDRGK1</t>
  </si>
  <si>
    <t>Q96IJ6_GMPPA</t>
  </si>
  <si>
    <t>Q96IY4_CPB2</t>
  </si>
  <si>
    <t>Q96K76-2_USP47</t>
  </si>
  <si>
    <t>Q96KN1_FAM84B</t>
  </si>
  <si>
    <t>Q96KP4_CNDP2</t>
  </si>
  <si>
    <t>Q96L35_EPHB4</t>
  </si>
  <si>
    <t>Q96LJ7_DHRS1</t>
  </si>
  <si>
    <t>Q96M27-4_PRRC1</t>
  </si>
  <si>
    <t>Q96M93-2_ADAD1</t>
  </si>
  <si>
    <t>Q96MK3_FAM20A</t>
  </si>
  <si>
    <t>Q96NY8_PVRL4</t>
  </si>
  <si>
    <t>Q96PD5_PGLYRP2</t>
  </si>
  <si>
    <t>Q96Q06_PLIN4</t>
  </si>
  <si>
    <t>Q96QK1_VPS35</t>
  </si>
  <si>
    <t>Q96QR8_PURB</t>
  </si>
  <si>
    <t>Q96RF0-3_SNX18</t>
  </si>
  <si>
    <t>Q96S96_PEBP4</t>
  </si>
  <si>
    <t>Q96TA1-2_FAM129B</t>
  </si>
  <si>
    <t>Q99436_PSMB7</t>
  </si>
  <si>
    <t>Q99447-3_PCYT2</t>
  </si>
  <si>
    <t>Q99460_PSMD1</t>
  </si>
  <si>
    <t>Q99497_PARK7</t>
  </si>
  <si>
    <t>Q99519_NEU1</t>
  </si>
  <si>
    <t>Q99523_SORT1</t>
  </si>
  <si>
    <t>Q99536_VAT1</t>
  </si>
  <si>
    <t>Q99538_LGMN</t>
  </si>
  <si>
    <t>Q99541_PLIN2</t>
  </si>
  <si>
    <t>Q99574_SERPINI1</t>
  </si>
  <si>
    <t>Q99584_S100A13</t>
  </si>
  <si>
    <t>Q99650_OSMR</t>
  </si>
  <si>
    <t>Q99674_CGREF1</t>
  </si>
  <si>
    <t>Q99727_TIMP4</t>
  </si>
  <si>
    <t>Q99805_TM9SF2</t>
  </si>
  <si>
    <t>Q99828_CIB1</t>
  </si>
  <si>
    <t>Q99832-3_CCT7</t>
  </si>
  <si>
    <t>Q99878_HIST1H2AJ</t>
  </si>
  <si>
    <t>Q99941-2_ATF6B</t>
  </si>
  <si>
    <t>Q9BPX5_ARPC5L</t>
  </si>
  <si>
    <t>Q9BR76_CORO1B</t>
  </si>
  <si>
    <t>Q9BRA2_TXNDC17</t>
  </si>
  <si>
    <t>Q9BRK5_SDF4</t>
  </si>
  <si>
    <t>Q9BS26_ERP44</t>
  </si>
  <si>
    <t>Q9BS40_LXN</t>
  </si>
  <si>
    <t>Q9BSG0_PRADC1</t>
  </si>
  <si>
    <t>Q9BSH5_HDHD3</t>
  </si>
  <si>
    <t>Q9BSJ8_ESYT1</t>
  </si>
  <si>
    <t>Q9BTY2_FUCA2</t>
  </si>
  <si>
    <t>Q9BUB1_PRKAR2A</t>
  </si>
  <si>
    <t>Q9BUF5_TUBB6</t>
  </si>
  <si>
    <t>Q9BUF7_CRB3</t>
  </si>
  <si>
    <t>Q9BUP0_EFHD1</t>
  </si>
  <si>
    <t>Q9BVC6_TMEM109</t>
  </si>
  <si>
    <t>Q9BVG4_PBDC1</t>
  </si>
  <si>
    <t>Q9BVJ7_DUSP23</t>
  </si>
  <si>
    <t>Q9BW04_SARG</t>
  </si>
  <si>
    <t>Q9BWD1_ACAT2</t>
  </si>
  <si>
    <t>Q9BXJ1_C1QTNF1</t>
  </si>
  <si>
    <t>Q9BY67-2_CADM1</t>
  </si>
  <si>
    <t>Q9BY76_ANGPTL4</t>
  </si>
  <si>
    <t>Q9BYF1_ACE2</t>
  </si>
  <si>
    <t>Q9BZD6_PRRG4</t>
  </si>
  <si>
    <t>Q9GZM7-3_TINAGL1</t>
  </si>
  <si>
    <t>Q9GZN4_PRSS22</t>
  </si>
  <si>
    <t>Q9GZP0-2_PDGFD</t>
  </si>
  <si>
    <t>Q9H0E2_TOLLIP</t>
  </si>
  <si>
    <t>Q9H0N0_RAB6C</t>
  </si>
  <si>
    <t>Q9H0Q0_FAM49A</t>
  </si>
  <si>
    <t>Q9H0U4_RAB1B</t>
  </si>
  <si>
    <t>Q9H0W9-3_C11orf54</t>
  </si>
  <si>
    <t>Q9H0X4_ITFG3</t>
  </si>
  <si>
    <t>Q9H173_SIL1</t>
  </si>
  <si>
    <t>Q9H1C7_CYSTM1</t>
  </si>
  <si>
    <t>Q9H1J1-3_UPF3A</t>
  </si>
  <si>
    <t>Q9H1X3-3_DNAJC25</t>
  </si>
  <si>
    <t>Q9H223_EHD4</t>
  </si>
  <si>
    <t>Q9H246_C1orf21</t>
  </si>
  <si>
    <t>Q9H257-3_CARD9</t>
  </si>
  <si>
    <t>Q9H2G2-2_SLK</t>
  </si>
  <si>
    <t>Q9H2K8_TAOK3</t>
  </si>
  <si>
    <t>Q9H2S1_KCNN2</t>
  </si>
  <si>
    <t>Q9H3G5_CPVL</t>
  </si>
  <si>
    <t>Q9H3K6_BOLA2</t>
  </si>
  <si>
    <t>Q9H3Z4-2_DNAJC5</t>
  </si>
  <si>
    <t>Q9H444_CHMP4B</t>
  </si>
  <si>
    <t>Q9H479_FN3K</t>
  </si>
  <si>
    <t>Q9H4F8_SMOC1</t>
  </si>
  <si>
    <t>Q9H4G4_GLIPR2</t>
  </si>
  <si>
    <t>Q9H6S3_EPS8L2</t>
  </si>
  <si>
    <t>Q9H741_C12orf49</t>
  </si>
  <si>
    <t>Q9H772_GREM2</t>
  </si>
  <si>
    <t>Q9H773_DCTPP1</t>
  </si>
  <si>
    <t>Q9H813_TMEM206</t>
  </si>
  <si>
    <t>Q9H8J5_MANSC1</t>
  </si>
  <si>
    <t>Q9H8M7-2_FAM188A</t>
  </si>
  <si>
    <t>Q9H8S9_MOB1A</t>
  </si>
  <si>
    <t>Q9HAB8_PPCS</t>
  </si>
  <si>
    <t>Q9HAT2_SIAE</t>
  </si>
  <si>
    <t>Q9HAV0_GNB4</t>
  </si>
  <si>
    <t>Q9HB40_SCPEP1</t>
  </si>
  <si>
    <t>Q9HB63-3_NTN4</t>
  </si>
  <si>
    <t>Q9HB71-3_CACYBP</t>
  </si>
  <si>
    <t>Q9HBR0_SLC38A10</t>
  </si>
  <si>
    <t>Q9HC38-2_GLOD4</t>
  </si>
  <si>
    <t>Q9HC57_WFDC1</t>
  </si>
  <si>
    <t>Q9HCB6_SPON1</t>
  </si>
  <si>
    <t>Q9HCU4_CELSR2</t>
  </si>
  <si>
    <t>Q9HCY8_S100A14</t>
  </si>
  <si>
    <t>Q9NP72_RAB18</t>
  </si>
  <si>
    <t>Q9NQE9_HINT3</t>
  </si>
  <si>
    <t>Q9NQR4_NIT2</t>
  </si>
  <si>
    <t>Q9NQT8_KIF13B</t>
  </si>
  <si>
    <t>Q9NQW7-2_XPNPEP1</t>
  </si>
  <si>
    <t>Q9NR16-3_CD163L1</t>
  </si>
  <si>
    <t>Q9NR19_ACSS2</t>
  </si>
  <si>
    <t>Q9NR31_SAR1A</t>
  </si>
  <si>
    <t>Q9NR45_NANS</t>
  </si>
  <si>
    <t>Q9NR99_MXRA5</t>
  </si>
  <si>
    <t>Q9NRR5_UBQLN4</t>
  </si>
  <si>
    <t>Q9NRR8_CDC42SE1</t>
  </si>
  <si>
    <t>Q9NRV9_HEBP1</t>
  </si>
  <si>
    <t>Q9NSD9_FARSB</t>
  </si>
  <si>
    <t>Q9NT62-2_ATG3</t>
  </si>
  <si>
    <t>Q9NTX5-6_ECHDC1</t>
  </si>
  <si>
    <t>Q9NV23_OLAH</t>
  </si>
  <si>
    <t>Q9NVE4_CCDC87</t>
  </si>
  <si>
    <t>Q9NVM1_EVA1B</t>
  </si>
  <si>
    <t>Q9NW21_FAM49B</t>
  </si>
  <si>
    <t>Q9NX46_ADPRHL2</t>
  </si>
  <si>
    <t>Q9NX55_HYPK</t>
  </si>
  <si>
    <t>Q9NX62_IMPAD1</t>
  </si>
  <si>
    <t>Q9NY15_STAB1</t>
  </si>
  <si>
    <t>Q9NY97-2_B3GNT2</t>
  </si>
  <si>
    <t>Q9NYQ8_FAT2</t>
  </si>
  <si>
    <t>Q9NYU2-2_UGGT1</t>
  </si>
  <si>
    <t>Q9NZ08_ERAP1</t>
  </si>
  <si>
    <t>Q9NZ20_PLA2G3</t>
  </si>
  <si>
    <t>Q9NZJ5_EIF2AK3</t>
  </si>
  <si>
    <t>Q9NZP8_C1RL</t>
  </si>
  <si>
    <t>Q9NZT1_CALML5</t>
  </si>
  <si>
    <t>Q9NZV1_CRIM1</t>
  </si>
  <si>
    <t>Q9NZZ3-2_CHMP5</t>
  </si>
  <si>
    <t>Q9P055_JKAMP</t>
  </si>
  <si>
    <t>Q9P0L0_VAPA</t>
  </si>
  <si>
    <t>Q9P0S2_COX16</t>
  </si>
  <si>
    <t>Q9P1F3_ABRACL</t>
  </si>
  <si>
    <t>Q9P2B2_PTGFRN</t>
  </si>
  <si>
    <t>Q9P2E9-2_RRBP1</t>
  </si>
  <si>
    <t>Q9P2K2_TXNDC16</t>
  </si>
  <si>
    <t>Q9P2X0_DPM3</t>
  </si>
  <si>
    <t>Q9UBI6_GNG12</t>
  </si>
  <si>
    <t>Q9UBR2_CTSZ</t>
  </si>
  <si>
    <t>Q9UBS3_DNAJB9</t>
  </si>
  <si>
    <t>Q9UBX1_CTSF</t>
  </si>
  <si>
    <t>Q9UEL6_MPZL1</t>
  </si>
  <si>
    <t>Q9UHD0_IL19</t>
  </si>
  <si>
    <t>Q9UHD8-3_SEPT9</t>
  </si>
  <si>
    <t>Q9UHG2_PCSK1N</t>
  </si>
  <si>
    <t>Q9UHI8_ADAMTS1</t>
  </si>
  <si>
    <t>Q9UHL4_DPP7</t>
  </si>
  <si>
    <t>Q9UHV9_PFDN2</t>
  </si>
  <si>
    <t>Q9UJJ9_GNPTG</t>
  </si>
  <si>
    <t>Q9UJW0-2_DCTN4</t>
  </si>
  <si>
    <t>Q9UKS6_PACSIN3</t>
  </si>
  <si>
    <t>Q9UKY7_CDV3</t>
  </si>
  <si>
    <t>Q9UL25_RAB21</t>
  </si>
  <si>
    <t>Q9UL26_RAB22A</t>
  </si>
  <si>
    <t>Q9ULC4_MCTS1</t>
  </si>
  <si>
    <t>Q9ULM3_YEATS2</t>
  </si>
  <si>
    <t>Q9ULZ3-2_PYCARD</t>
  </si>
  <si>
    <t>Q9UMX0-2_UBQLN1</t>
  </si>
  <si>
    <t>Q9UMX5_NENF</t>
  </si>
  <si>
    <t>Q9UMY4-2_SNX12</t>
  </si>
  <si>
    <t>Q9UN70-4_PCDHGC3</t>
  </si>
  <si>
    <t>Q9UN76_SLC6A14</t>
  </si>
  <si>
    <t>Q9UNF0-2_PACSIN2</t>
  </si>
  <si>
    <t>Q9UNM6_PSMD13</t>
  </si>
  <si>
    <t>Q9UNQ0-2_ABCG2</t>
  </si>
  <si>
    <t>Q9UNW1_MINPP1</t>
  </si>
  <si>
    <t>Q9UQ80_PA2G4</t>
  </si>
  <si>
    <t>Q9Y266_NUDC</t>
  </si>
  <si>
    <t>Q9Y2A9_B3GNT3</t>
  </si>
  <si>
    <t>Q9Y2B0_CNPY2</t>
  </si>
  <si>
    <t>Q9Y2S2-2_CRYL1</t>
  </si>
  <si>
    <t>Q9Y2V2_CARHSP1</t>
  </si>
  <si>
    <t>Q9Y2Z0-2_SUGT1</t>
  </si>
  <si>
    <t>Q9Y376_CAB39</t>
  </si>
  <si>
    <t>Q9Y3A5_SBDS</t>
  </si>
  <si>
    <t>Q9Y3B3-2_TMED7</t>
  </si>
  <si>
    <t>Q9Y3C8_UFC1</t>
  </si>
  <si>
    <t>Q9Y3D6_FIS1</t>
  </si>
  <si>
    <t>Q9Y3E7-4_CHMP3</t>
  </si>
  <si>
    <t>Q9Y5E5_PCDHB4</t>
  </si>
  <si>
    <t>Q9Y5P6_GMPPB</t>
  </si>
  <si>
    <t>Q9Y5X3_SNX5</t>
  </si>
  <si>
    <t>Q9Y5X9_LIPG</t>
  </si>
  <si>
    <t>Q9Y5Y6_ST14</t>
  </si>
  <si>
    <t>Q9Y5Z4_HEBP2</t>
  </si>
  <si>
    <t>Q9Y617_PSAT1</t>
  </si>
  <si>
    <t>Q9Y646_CPQ</t>
  </si>
  <si>
    <t>Q9Y653-2_GPR56</t>
  </si>
  <si>
    <t>Q9Y678_COPG1</t>
  </si>
  <si>
    <t>Q9Y679_AUP1</t>
  </si>
  <si>
    <t>Q9Y696_CLIC4</t>
  </si>
  <si>
    <t>Q9Y6B6_SAR1B</t>
  </si>
  <si>
    <t>Q9Y6E0_STK24</t>
  </si>
  <si>
    <t>Q9Y6R7_FCGBP</t>
  </si>
  <si>
    <t>Q9Y6X5_ENPP4</t>
  </si>
  <si>
    <t>Q9Y6Y9_LY96</t>
  </si>
  <si>
    <t>R4GMT0_ACTR1A</t>
  </si>
  <si>
    <t>R4GMX0_YTHDF3</t>
  </si>
  <si>
    <t>R4GNF9_TSTD1</t>
  </si>
  <si>
    <t>Melting_Curves/meltCurve_A0AVT1_UBA6.pdf</t>
  </si>
  <si>
    <t>Melting_Curves/meltCurve_A0M8Q6_IGLC7.pdf</t>
  </si>
  <si>
    <t>Melting_Curves/meltCurve_A0MZ66_KIAA1598.pdf</t>
  </si>
  <si>
    <t>Melting_Curves/meltCurve_A2A2D0_STMN1.pdf</t>
  </si>
  <si>
    <t>Melting_Curves/meltCurve_A2A2U4_NQO2.pdf</t>
  </si>
  <si>
    <t>Melting_Curves/meltCurve_A2A2V1_PRNP.pdf</t>
  </si>
  <si>
    <t>Melting_Curves/meltCurve_A2A2V4_VEGFA.pdf</t>
  </si>
  <si>
    <t>Melting_Curves/meltCurve_A2IBA6_LIPH.pdf</t>
  </si>
  <si>
    <t>Melting_Curves/meltCurve_A3KFI5_NBL1.pdf</t>
  </si>
  <si>
    <t>Melting_Curves/meltCurve_A6NF51_BPNT1.pdf</t>
  </si>
  <si>
    <t>Melting_Curves/meltCurve_A6NG51_SPTAN1.pdf</t>
  </si>
  <si>
    <t>Melting_Curves/meltCurve_A6NJ16_IGHV4OR15_8.pdf</t>
  </si>
  <si>
    <t>Melting_Curves/meltCurve_A6NJA2_USP14.pdf</t>
  </si>
  <si>
    <t>Melting_Curves/meltCurve_A6NJH9_EIF1AY.pdf</t>
  </si>
  <si>
    <t>Melting_Curves/meltCurve_A6NJU6_NUDT5.pdf</t>
  </si>
  <si>
    <t>Melting_Curves/meltCurve_A6NKB8_RNPEP.pdf</t>
  </si>
  <si>
    <t>Melting_Curves/meltCurve_A6NMQ3_ENSA.pdf</t>
  </si>
  <si>
    <t>Melting_Curves/meltCurve_A6NNI4_CD9.pdf</t>
  </si>
  <si>
    <t>Melting_Curves/meltCurve_A6PVX3_PSMD4.pdf</t>
  </si>
  <si>
    <t>Melting_Curves/meltCurve_A6QRH7_FAM3A.pdf</t>
  </si>
  <si>
    <t>Melting_Curves/meltCurve_A8CZ64_MAPK1.pdf</t>
  </si>
  <si>
    <t>Melting_Curves/meltCurve_A8MTF8_FAM3B.pdf</t>
  </si>
  <si>
    <t>Melting_Curves/meltCurve_A8MU39_PPP5C.pdf</t>
  </si>
  <si>
    <t>Melting_Curves/meltCurve_A8MU44_HOOK1.pdf</t>
  </si>
  <si>
    <t>Melting_Curves/meltCurve_A8MUB1_TUBA4A.pdf</t>
  </si>
  <si>
    <t>Melting_Curves/meltCurve_A8MUD9_RPL7.pdf</t>
  </si>
  <si>
    <t>Melting_Curves/meltCurve_A8MVQ3_CARS.pdf</t>
  </si>
  <si>
    <t>Melting_Curves/meltCurve_A8MVZ9_ALDOC.pdf</t>
  </si>
  <si>
    <t>Melting_Curves/meltCurve_A8MX94_GSTP1.pdf</t>
  </si>
  <si>
    <t>Melting_Curves/meltCurve_A8MXB9_SUMF2.pdf</t>
  </si>
  <si>
    <t>Melting_Curves/meltCurve_A8MXL6_SEC13.pdf</t>
  </si>
  <si>
    <t>Melting_Curves/meltCurve_A8MZ87_KLC2.pdf</t>
  </si>
  <si>
    <t>Melting_Curves/meltCurve_B0AZV0_STRAP.pdf</t>
  </si>
  <si>
    <t>Melting_Curves/meltCurve_B0QY51_CCDC134.pdf</t>
  </si>
  <si>
    <t>Melting_Curves/meltCurve_B0QYF0_BAIAP2L2.pdf</t>
  </si>
  <si>
    <t>Melting_Curves/meltCurve_B0S7V7_CCHCR1.pdf</t>
  </si>
  <si>
    <t>Melting_Curves/meltCurve_B0S7Z5_HLA_C.pdf</t>
  </si>
  <si>
    <t>Melting_Curves/meltCurve_B0UY14_HLA_C.pdf</t>
  </si>
  <si>
    <t>Melting_Curves/meltCurve_B0V043_VARS.pdf</t>
  </si>
  <si>
    <t>Melting_Curves/meltCurve_B0V0T3_PSMB9.pdf</t>
  </si>
  <si>
    <t>Melting_Curves/meltCurve_B0V1E4_HLA_DPB1.pdf</t>
  </si>
  <si>
    <t>Melting_Curves/meltCurve_B0YIW2_APOC3.pdf</t>
  </si>
  <si>
    <t>Melting_Curves/meltCurve_B0YIW6_ARCN1.pdf</t>
  </si>
  <si>
    <t>Melting_Curves/meltCurve_B0YJC4_VIM.pdf</t>
  </si>
  <si>
    <t>Melting_Curves/meltCurve_B1AJY5_PSMD10.pdf</t>
  </si>
  <si>
    <t>Melting_Curves/meltCurve_B1AK87_CAPZB.pdf</t>
  </si>
  <si>
    <t>Melting_Curves/meltCurve_B1AKD8_CROCC.pdf</t>
  </si>
  <si>
    <t>Melting_Curves/meltCurve_B1AKZ5_PEA15.pdf</t>
  </si>
  <si>
    <t>Melting_Curves/meltCurve_B1ALD8_POSTN.pdf</t>
  </si>
  <si>
    <t>Melting_Curves/meltCurve_B1ALD9_POSTN.pdf</t>
  </si>
  <si>
    <t>Melting_Curves/meltCurve_B1AN99_PRSS3.pdf</t>
  </si>
  <si>
    <t>Melting_Curves/meltCurve_B1ARP7_C1orf123.pdf</t>
  </si>
  <si>
    <t>Melting_Curves/meltCurve_B1AVQ5_MUC1.pdf</t>
  </si>
  <si>
    <t>Melting_Curves/meltCurve_B2R9R8_KCTD14.pdf</t>
  </si>
  <si>
    <t>Melting_Curves/meltCurve_B3KRD8_SEC14L2.pdf</t>
  </si>
  <si>
    <t>Melting_Curves/meltCurve_B3KUE5_PLTP.pdf</t>
  </si>
  <si>
    <t>Melting_Curves/meltCurve_B3KUK2_SOD2.pdf</t>
  </si>
  <si>
    <t>Melting_Curves/meltCurve_B3KVN2_FNTA.pdf</t>
  </si>
  <si>
    <t>Melting_Curves/meltCurve_B3KW71_QDPR.pdf</t>
  </si>
  <si>
    <t>Melting_Curves/meltCurve_B3KWE1_HARS.pdf</t>
  </si>
  <si>
    <t>Melting_Curves/meltCurve_B4DDD6_DBNL.pdf</t>
  </si>
  <si>
    <t>Melting_Curves/meltCurve_B4DE40_SMS.pdf</t>
  </si>
  <si>
    <t>Melting_Curves/meltCurve_B4DEK4_SNX2.pdf</t>
  </si>
  <si>
    <t>Melting_Curves/meltCurve_B4DEM7_CCT8.pdf</t>
  </si>
  <si>
    <t>Melting_Curves/meltCurve_B4DF51_CD33.pdf</t>
  </si>
  <si>
    <t>Melting_Curves/meltCurve_B4DFC9_NAPG.pdf</t>
  </si>
  <si>
    <t>Melting_Curves/meltCurve_B4DIT7_TGM2.pdf</t>
  </si>
  <si>
    <t>Melting_Curves/meltCurve_B4DIU3_PADI2.pdf</t>
  </si>
  <si>
    <t>Melting_Curves/meltCurve_B4DJA5_RAB5A.pdf</t>
  </si>
  <si>
    <t>Melting_Curves/meltCurve_B4DJS7_SNX6.pdf</t>
  </si>
  <si>
    <t>Melting_Curves/meltCurve_B4DKL4_LSR.pdf</t>
  </si>
  <si>
    <t>Melting_Curves/meltCurve_B4DLC0_PCBP2.pdf</t>
  </si>
  <si>
    <t>Melting_Curves/meltCurve_B4DN22_STC1.pdf</t>
  </si>
  <si>
    <t>Melting_Curves/meltCurve_B4DN45_MAT2A.pdf</t>
  </si>
  <si>
    <t>Melting_Curves/meltCurve_B4DNW0_ACY1.pdf</t>
  </si>
  <si>
    <t>Melting_Curves/meltCurve_B4DNW5_SFTPA1.pdf</t>
  </si>
  <si>
    <t>Melting_Curves/meltCurve_B4DP17_CNBP.pdf</t>
  </si>
  <si>
    <t>Melting_Curves/meltCurve_B4DPG6_GGT6.pdf</t>
  </si>
  <si>
    <t>Melting_Curves/meltCurve_B4DQ68_CPPED1.pdf</t>
  </si>
  <si>
    <t>Melting_Curves/meltCurve_B4DQI4_ABHD14B.pdf</t>
  </si>
  <si>
    <t>Melting_Curves/meltCurve_B4DQJ8_PGD.pdf</t>
  </si>
  <si>
    <t>Melting_Curves/meltCurve_B4DQR1_CARKD.pdf</t>
  </si>
  <si>
    <t>Melting_Curves/meltCurve_B4DR52_HIST2H2BF.pdf</t>
  </si>
  <si>
    <t>Melting_Curves/meltCurve_B4DR94_YKT6.pdf</t>
  </si>
  <si>
    <t>Melting_Curves/meltCurve_B4DRN8_ZDHHC20.pdf</t>
  </si>
  <si>
    <t>Melting_Curves/meltCurve_B4DSV9_ABI3BP.pdf</t>
  </si>
  <si>
    <t>Melting_Curves/meltCurve_B4DT77_ANXA7.pdf</t>
  </si>
  <si>
    <t>Melting_Curves/meltCurve_B4DUC8_MTAP.pdf</t>
  </si>
  <si>
    <t>Melting_Curves/meltCurve_B4DUI3_EIF3J.pdf</t>
  </si>
  <si>
    <t>Melting_Curves/meltCurve_B4DUR8_CCT3.pdf</t>
  </si>
  <si>
    <t>Melting_Curves/meltCurve_B4DWJ2_QARS.pdf</t>
  </si>
  <si>
    <t>Melting_Curves/meltCurve_B4E0V0_PNPO.pdf</t>
  </si>
  <si>
    <t>Melting_Curves/meltCurve_B4E1J0_PBXIP1.pdf</t>
  </si>
  <si>
    <t>Melting_Curves/meltCurve_B4E1Z4_CFB.pdf</t>
  </si>
  <si>
    <t>Melting_Curves/meltCurve_B4E2C0_GPC4.pdf</t>
  </si>
  <si>
    <t>Melting_Curves/meltCurve_B4E2S7_LAMP2.pdf</t>
  </si>
  <si>
    <t>Melting_Curves/meltCurve_B4E2V5_STOM.pdf</t>
  </si>
  <si>
    <t>Melting_Curves/meltCurve_B4E2X5_GNAI2.pdf</t>
  </si>
  <si>
    <t>Melting_Curves/meltCurve_B4E2Z0_SPARCL1.pdf</t>
  </si>
  <si>
    <t>Melting_Curves/meltCurve_B4E351_IGFBP4.pdf</t>
  </si>
  <si>
    <t>Melting_Curves/meltCurve_B4E3A5_PDGFC.pdf</t>
  </si>
  <si>
    <t>Melting_Curves/meltCurve_B4E3Q4_CECR1.pdf</t>
  </si>
  <si>
    <t>Melting_Curves/meltCurve_B5MBX2_TCN2.pdf</t>
  </si>
  <si>
    <t>Melting_Curves/meltCurve_B5MC82_DDT.pdf</t>
  </si>
  <si>
    <t>Melting_Curves/meltCurve_B5MCA4_EPCAM.pdf</t>
  </si>
  <si>
    <t>Melting_Curves/meltCurve_B5MD23_TSPAN9.pdf</t>
  </si>
  <si>
    <t>Melting_Curves/meltCurve_B5MD87_PYCRL.pdf</t>
  </si>
  <si>
    <t>Melting_Curves/meltCurve_B7WPD9_KIF26B.pdf</t>
  </si>
  <si>
    <t>Melting_Curves/meltCurve_B7Z1I4_NTM.pdf</t>
  </si>
  <si>
    <t>Melting_Curves/meltCurve_B7Z1R5_ATP6V1A.pdf</t>
  </si>
  <si>
    <t>Melting_Curves/meltCurve_B7Z254_PDIA6.pdf</t>
  </si>
  <si>
    <t>Melting_Curves/meltCurve_B7Z3I9_ALAD.pdf</t>
  </si>
  <si>
    <t>Melting_Curves/meltCurve_B7Z4K6_DNASE2.pdf</t>
  </si>
  <si>
    <t>Melting_Curves/meltCurve_B7Z4L4_RPN1.pdf</t>
  </si>
  <si>
    <t>Melting_Curves/meltCurve_B7Z5C0_DNAJA1.pdf</t>
  </si>
  <si>
    <t>Melting_Curves/meltCurve_B7Z5N7_SCFD1.pdf</t>
  </si>
  <si>
    <t>Melting_Curves/meltCurve_B7Z5W1_F11R.pdf</t>
  </si>
  <si>
    <t>Melting_Curves/meltCurve_B7Z729_SMPDL3A.pdf</t>
  </si>
  <si>
    <t>Melting_Curves/meltCurve_B7Z7P8_ETF1.pdf</t>
  </si>
  <si>
    <t>Melting_Curves/meltCurve_B7Z831_GPRC5B.pdf</t>
  </si>
  <si>
    <t>Melting_Curves/meltCurve_B7Z8T3_FETUB.pdf</t>
  </si>
  <si>
    <t>Melting_Curves/meltCurve_B7Z9C4_CTPS1.pdf</t>
  </si>
  <si>
    <t>Melting_Curves/meltCurve_B7Z9L0_CCT4.pdf</t>
  </si>
  <si>
    <t>Melting_Curves/meltCurve_B7ZKJ8_ITIH4.pdf</t>
  </si>
  <si>
    <t>Melting_Curves/meltCurve_B7ZMG9_FAM150A.pdf</t>
  </si>
  <si>
    <t>Melting_Curves/meltCurve_B8ZZ77_PPIL3.pdf</t>
  </si>
  <si>
    <t>Melting_Curves/meltCurve_B8ZZK4_RPL31.pdf</t>
  </si>
  <si>
    <t>Melting_Curves/meltCurve_B8ZZQ6_PTMA.pdf</t>
  </si>
  <si>
    <t>Melting_Curves/meltCurve_B8ZZT4_VAMP8.pdf</t>
  </si>
  <si>
    <t>Melting_Curves/meltCurve_B8ZZU8_TCEB2.pdf</t>
  </si>
  <si>
    <t>Melting_Curves/meltCurve_B9A064_IGLL5.pdf</t>
  </si>
  <si>
    <t>Melting_Curves/meltCurve_C9IZ46_SHISA5.pdf</t>
  </si>
  <si>
    <t>Melting_Curves/meltCurve_C9IZE4_PSMD6.pdf</t>
  </si>
  <si>
    <t>Melting_Curves/meltCurve_C9IZG4_CUTA.pdf</t>
  </si>
  <si>
    <t>Melting_Curves/meltCurve_C9J0E4_CSTA.pdf</t>
  </si>
  <si>
    <t>Melting_Curves/meltCurve_C9J0T6_RAB17.pdf</t>
  </si>
  <si>
    <t>Melting_Curves/meltCurve_C9J1D9_IL1RAP.pdf</t>
  </si>
  <si>
    <t>Melting_Curves/meltCurve_C9J2Z4_EHD1.pdf</t>
  </si>
  <si>
    <t>Melting_Curves/meltCurve_C9J4Z0_SLC22A23.pdf</t>
  </si>
  <si>
    <t>Melting_Curves/meltCurve_C9J5C3_PDCD10.pdf</t>
  </si>
  <si>
    <t>Melting_Curves/meltCurve_C9J686_IL1R1.pdf</t>
  </si>
  <si>
    <t>Melting_Curves/meltCurve_C9J6H2_IGFBP1.pdf</t>
  </si>
  <si>
    <t>Melting_Curves/meltCurve_C9J6N5_FAM107B.pdf</t>
  </si>
  <si>
    <t>Melting_Curves/meltCurve_C9J815_APOBR.pdf</t>
  </si>
  <si>
    <t>Melting_Curves/meltCurve_C9J8H1_ATP6V1E1.pdf</t>
  </si>
  <si>
    <t>Melting_Curves/meltCurve_C9J8S2_RARRES2.pdf</t>
  </si>
  <si>
    <t>Melting_Curves/meltCurve_C9J8U2_NAPRT1.pdf</t>
  </si>
  <si>
    <t>Melting_Curves/meltCurve_C9J931_RHEB.pdf</t>
  </si>
  <si>
    <t>Melting_Curves/meltCurve_C9J9K3_RPSA.pdf</t>
  </si>
  <si>
    <t>Melting_Curves/meltCurve_C9J9T0_RPE.pdf</t>
  </si>
  <si>
    <t>Melting_Curves/meltCurve_C9J9W2_LASP1.pdf</t>
  </si>
  <si>
    <t>Melting_Curves/meltCurve_C9JCN0_MYOF.pdf</t>
  </si>
  <si>
    <t>Melting_Curves/meltCurve_C9JDV1_LSP1.pdf</t>
  </si>
  <si>
    <t>Melting_Curves/meltCurve_C9JDX1_C1GALT1.pdf</t>
  </si>
  <si>
    <t>Melting_Curves/meltCurve_C9JEU5_FGG.pdf</t>
  </si>
  <si>
    <t>Melting_Curves/meltCurve_C9JEV0_AZGP1.pdf</t>
  </si>
  <si>
    <t>Melting_Curves/meltCurve_C9JEV6_NAGK.pdf</t>
  </si>
  <si>
    <t>Melting_Curves/meltCurve_C9JF17_APOD.pdf</t>
  </si>
  <si>
    <t>Melting_Curves/meltCurve_C9JFE4_GPS1.pdf</t>
  </si>
  <si>
    <t>Melting_Curves/meltCurve_C9JFM0_PTPRZ1.pdf</t>
  </si>
  <si>
    <t>Melting_Curves/meltCurve_C9JFX5_EPHA4.pdf</t>
  </si>
  <si>
    <t>Melting_Curves/meltCurve_C9JGI3_TYMP.pdf</t>
  </si>
  <si>
    <t>Melting_Curves/meltCurve_C9JH92_CRYZ.pdf</t>
  </si>
  <si>
    <t>Melting_Curves/meltCurve_C9JHJ7_ACVR1.pdf</t>
  </si>
  <si>
    <t>Melting_Curves/meltCurve_C9JIM0_PBLD.pdf</t>
  </si>
  <si>
    <t>Melting_Curves/meltCurve_C9JIZ6_PSAP.pdf</t>
  </si>
  <si>
    <t>Melting_Curves/meltCurve_C9JMA6_CBS.pdf</t>
  </si>
  <si>
    <t>Melting_Curves/meltCurve_C9JTY3_TFG.pdf</t>
  </si>
  <si>
    <t>Melting_Curves/meltCurve_C9JV08_IFNAR1.pdf</t>
  </si>
  <si>
    <t>Melting_Curves/meltCurve_C9JVB2_KIAA0319L.pdf</t>
  </si>
  <si>
    <t>Melting_Curves/meltCurve_C9JXB8_RPL24.pdf</t>
  </si>
  <si>
    <t>Melting_Curves/meltCurve_C9JYY6_NRCAM.pdf</t>
  </si>
  <si>
    <t>Melting_Curves/meltCurve_D0FY33_BTN3A3.pdf</t>
  </si>
  <si>
    <t>Melting_Curves/meltCurve_D3DQ64_AK4.pdf</t>
  </si>
  <si>
    <t>Melting_Curves/meltCurve_D6R907_EPN3.pdf</t>
  </si>
  <si>
    <t>Melting_Curves/meltCurve_D6R997_COPB2.pdf</t>
  </si>
  <si>
    <t>Melting_Curves/meltCurve_D6R9B6_RPS3A.pdf</t>
  </si>
  <si>
    <t>Melting_Curves/meltCurve_D6R9P2_SLC9B2.pdf</t>
  </si>
  <si>
    <t>Melting_Curves/meltCurve_D6R9S9_NAAA.pdf</t>
  </si>
  <si>
    <t>Melting_Curves/meltCurve_D6RA00_ENOPH1.pdf</t>
  </si>
  <si>
    <t>Melting_Curves/meltCurve_D6RAX7_COPS4.pdf</t>
  </si>
  <si>
    <t>Melting_Curves/meltCurve_D6RBV2_LMAN2.pdf</t>
  </si>
  <si>
    <t>Melting_Curves/meltCurve_D6RBW1_EIF4E.pdf</t>
  </si>
  <si>
    <t>Melting_Curves/meltCurve_D6RC73_CCL28.pdf</t>
  </si>
  <si>
    <t>Melting_Curves/meltCurve_D6RD47_RPS23.pdf</t>
  </si>
  <si>
    <t>Melting_Curves/meltCurve_D6RD83_HNRNPD.pdf</t>
  </si>
  <si>
    <t>Melting_Curves/meltCurve_D6RDM7_UBE2K.pdf</t>
  </si>
  <si>
    <t>Melting_Curves/meltCurve_D6RDP1_SEPT11.pdf</t>
  </si>
  <si>
    <t>Melting_Curves/meltCurve_D6REB4_PAIP1.pdf</t>
  </si>
  <si>
    <t>Melting_Curves/meltCurve_D6REB5_IDUA.pdf</t>
  </si>
  <si>
    <t>Melting_Curves/meltCurve_D6REE0_FAM153A.pdf</t>
  </si>
  <si>
    <t>Melting_Curves/meltCurve_D6REX5_SEPP1.pdf</t>
  </si>
  <si>
    <t>Melting_Curves/meltCurve_D6RF62_PAICS.pdf</t>
  </si>
  <si>
    <t>Melting_Curves/meltCurve_D6RFH4_CYB5B.pdf</t>
  </si>
  <si>
    <t>Melting_Curves/meltCurve_D6RG15_TWF2.pdf</t>
  </si>
  <si>
    <t>Melting_Curves/meltCurve_D6RGF4_ABCE1.pdf</t>
  </si>
  <si>
    <t>Melting_Curves/meltCurve_D6RGV2_IL7R.pdf</t>
  </si>
  <si>
    <t>Melting_Curves/meltCurve_D6RHI9_RNASET2.pdf</t>
  </si>
  <si>
    <t>Melting_Curves/meltCurve_D6RIW1_HMGCS1.pdf</t>
  </si>
  <si>
    <t>Melting_Curves/meltCurve_D7UEQ7_AHCYL2.pdf</t>
  </si>
  <si>
    <t>Melting_Curves/meltCurve_E5RFY9_C1orf198.pdf</t>
  </si>
  <si>
    <t>Melting_Curves/meltCurve_E5RG27_CSNK1A1.pdf</t>
  </si>
  <si>
    <t>Melting_Curves/meltCurve_E5RGR0_LYPLA1.pdf</t>
  </si>
  <si>
    <t>Melting_Curves/meltCurve_E5RGS4_PFDN1.pdf</t>
  </si>
  <si>
    <t>Melting_Curves/meltCurve_E5RI95_NCALD.pdf</t>
  </si>
  <si>
    <t>Melting_Curves/meltCurve_E5RII8_OXR1.pdf</t>
  </si>
  <si>
    <t>Melting_Curves/meltCurve_E5RIK5_DCTN6.pdf</t>
  </si>
  <si>
    <t>Melting_Curves/meltCurve_E5RIT4_EIF3E.pdf</t>
  </si>
  <si>
    <t>Melting_Curves/meltCurve_E5RIW3_TBCA.pdf</t>
  </si>
  <si>
    <t>Melting_Curves/meltCurve_E5RJB8_SDC2.pdf</t>
  </si>
  <si>
    <t>Melting_Curves/meltCurve_E5RJE3_RWDD1.pdf</t>
  </si>
  <si>
    <t>Melting_Curves/meltCurve_E5RJR5_SKP1.pdf</t>
  </si>
  <si>
    <t>Melting_Curves/meltCurve_E5RJU9_MTDH.pdf</t>
  </si>
  <si>
    <t>Melting_Curves/meltCurve_E5RK99_CTHRC1.pdf</t>
  </si>
  <si>
    <t>Melting_Curves/meltCurve_E7EM64_COPS6.pdf</t>
  </si>
  <si>
    <t>Melting_Curves/meltCurve_E7EMB1_SWAP70.pdf</t>
  </si>
  <si>
    <t>Melting_Curves/meltCurve_E7EMB6_DNPEP.pdf</t>
  </si>
  <si>
    <t>Melting_Curves/meltCurve_E7EMV0_DIAPH1.pdf</t>
  </si>
  <si>
    <t>Melting_Curves/meltCurve_E7END6_PROC.pdf</t>
  </si>
  <si>
    <t>Melting_Curves/meltCurve_E7ENN3_SYNE1.pdf</t>
  </si>
  <si>
    <t>Melting_Curves/meltCurve_E7ENZ3_CCT5.pdf</t>
  </si>
  <si>
    <t>Melting_Curves/meltCurve_E7EPB3_RPL14.pdf</t>
  </si>
  <si>
    <t>Melting_Curves/meltCurve_E7EPD0_TOM1.pdf</t>
  </si>
  <si>
    <t>Melting_Curves/meltCurve_E7EQR8_YIPF3.pdf</t>
  </si>
  <si>
    <t>Melting_Curves/meltCurve_E7EQV9_RPL15.pdf</t>
  </si>
  <si>
    <t>Melting_Curves/meltCurve_E7ER27_HSD17B4.pdf</t>
  </si>
  <si>
    <t>Melting_Curves/meltCurve_E7ERV9_ASAH1.pdf</t>
  </si>
  <si>
    <t>Melting_Curves/meltCurve_E7ES19_THBS4.pdf</t>
  </si>
  <si>
    <t>Melting_Curves/meltCurve_E7ETU9_PLOD2.pdf</t>
  </si>
  <si>
    <t>Melting_Curves/meltCurve_E7ETZ0_CALM1.pdf</t>
  </si>
  <si>
    <t>Melting_Curves/meltCurve_E7EU05_CD36.pdf</t>
  </si>
  <si>
    <t>Melting_Curves/meltCurve_E7EU09_FGFR1.pdf</t>
  </si>
  <si>
    <t>Melting_Curves/meltCurve_E7EU23_GDI2.pdf</t>
  </si>
  <si>
    <t>Melting_Curves/meltCurve_E7EUG3_GGT5.pdf</t>
  </si>
  <si>
    <t>Melting_Curves/meltCurve_E7EUL7_SSFA2.pdf</t>
  </si>
  <si>
    <t>Melting_Curves/meltCurve_E7EUU1_LTBP4.pdf</t>
  </si>
  <si>
    <t>Melting_Curves/meltCurve_E7EVJ3_NDST1.pdf</t>
  </si>
  <si>
    <t>Melting_Curves/meltCurve_E7EVU7_GNPDA1.pdf</t>
  </si>
  <si>
    <t>Melting_Curves/meltCurve_E7EW20_MYO6.pdf</t>
  </si>
  <si>
    <t>Melting_Curves/meltCurve_E7EWE1_UBA5.pdf</t>
  </si>
  <si>
    <t>Melting_Curves/meltCurve_E7EX17_EIF4B.pdf</t>
  </si>
  <si>
    <t>Melting_Curves/meltCurve_E7EX60_NRP1.pdf</t>
  </si>
  <si>
    <t>Melting_Curves/meltCurve_E7EX73_EIF4G1.pdf</t>
  </si>
  <si>
    <t>Melting_Curves/meltCurve_E7EX90_DCTN1.pdf</t>
  </si>
  <si>
    <t>Melting_Curves/meltCurve_E7EXA3_NIF3L1.pdf</t>
  </si>
  <si>
    <t>Melting_Curves/meltCurve_E9PAQ1_CFP.pdf</t>
  </si>
  <si>
    <t>Melting_Curves/meltCurve_E9PB61_ALYREF.pdf</t>
  </si>
  <si>
    <t>Melting_Curves/meltCurve_E9PBJ0_MUC5B.pdf</t>
  </si>
  <si>
    <t>Melting_Curves/meltCurve_E9PBU3_ATIC.pdf</t>
  </si>
  <si>
    <t>Melting_Curves/meltCurve_E9PC74_EIF2B5.pdf</t>
  </si>
  <si>
    <t>Melting_Curves/meltCurve_E9PCD7_MAN2B2.pdf</t>
  </si>
  <si>
    <t>Melting_Curves/meltCurve_E9PCV0_GUSB.pdf</t>
  </si>
  <si>
    <t>Melting_Curves/meltCurve_E9PDB2_MDH2.pdf</t>
  </si>
  <si>
    <t>Melting_Curves/meltCurve_E9PDQ1_CSN1S1.pdf</t>
  </si>
  <si>
    <t>Melting_Curves/meltCurve_E9PDY6_MUC4.pdf</t>
  </si>
  <si>
    <t>Melting_Curves/meltCurve_E9PFD9_SEMA4D.pdf</t>
  </si>
  <si>
    <t>Melting_Curves/meltCurve_E9PFN5_GSTK1.pdf</t>
  </si>
  <si>
    <t>Melting_Curves/meltCurve_E9PFZ2_CP.pdf</t>
  </si>
  <si>
    <t>Melting_Curves/meltCurve_E9PGN7_SERPING1.pdf</t>
  </si>
  <si>
    <t>Melting_Curves/meltCurve_E9PGT1_TSN.pdf</t>
  </si>
  <si>
    <t>Melting_Curves/meltCurve_E9PH29_PRDX3.pdf</t>
  </si>
  <si>
    <t>Melting_Curves/meltCurve_E9PH32_MUC20.pdf</t>
  </si>
  <si>
    <t>Melting_Curves/meltCurve_E9PHI6_DYNC1LI1.pdf</t>
  </si>
  <si>
    <t>Melting_Curves/meltCurve_E9PHK0_CLEC3B.pdf</t>
  </si>
  <si>
    <t>Melting_Curves/meltCurve_E9PI87_HTATIP2.pdf</t>
  </si>
  <si>
    <t>Melting_Curves/meltCurve_E9PIN0_ATM.pdf</t>
  </si>
  <si>
    <t>Melting_Curves/meltCurve_E9PIR7_TXNRD1.pdf</t>
  </si>
  <si>
    <t>Melting_Curves/meltCurve_E9PJ81_UBXN1.pdf</t>
  </si>
  <si>
    <t>Melting_Curves/meltCurve_E9PJD9_RPL27A.pdf</t>
  </si>
  <si>
    <t>Melting_Curves/meltCurve_E9PJK1_CD81.pdf</t>
  </si>
  <si>
    <t>Melting_Curves/meltCurve_E9PJP1_AAMDC.pdf</t>
  </si>
  <si>
    <t>Melting_Curves/meltCurve_E9PK01_EEF1D.pdf</t>
  </si>
  <si>
    <t>Melting_Curves/meltCurve_E9PK47_PYGL.pdf</t>
  </si>
  <si>
    <t>Melting_Curves/meltCurve_E9PKP6_PICALM.pdf</t>
  </si>
  <si>
    <t>Melting_Curves/meltCurve_E9PKZ0_RPL8.pdf</t>
  </si>
  <si>
    <t>Melting_Curves/meltCurve_E9PL10_BTF3L4.pdf</t>
  </si>
  <si>
    <t>Melting_Curves/meltCurve_E9PL22_HYOU1.pdf</t>
  </si>
  <si>
    <t>Melting_Curves/meltCurve_E9PL74_PLEKHA7.pdf</t>
  </si>
  <si>
    <t>Melting_Curves/meltCurve_E9PLB2_IPO7.pdf</t>
  </si>
  <si>
    <t>Melting_Curves/meltCurve_E9PLK3_NPEPPS.pdf</t>
  </si>
  <si>
    <t>Melting_Curves/meltCurve_E9PM69_PSMC3.pdf</t>
  </si>
  <si>
    <t>Melting_Curves/meltCurve_E9PMD7_PPP1CA.pdf</t>
  </si>
  <si>
    <t>Melting_Curves/meltCurve_E9PMT1_CASP4.pdf</t>
  </si>
  <si>
    <t>Melting_Curves/meltCurve_E9PMY3_PTP4A2.pdf</t>
  </si>
  <si>
    <t>Melting_Curves/meltCurve_E9PNA1_B3GAT3.pdf</t>
  </si>
  <si>
    <t>Melting_Curves/meltCurve_E9PNK6_TPD52L1.pdf</t>
  </si>
  <si>
    <t>Melting_Curves/meltCurve_E9PNW4_CD59.pdf</t>
  </si>
  <si>
    <t>Melting_Curves/meltCurve_E9PP31_CAPRIN1.pdf</t>
  </si>
  <si>
    <t>Melting_Curves/meltCurve_E9PP73_COPB1.pdf</t>
  </si>
  <si>
    <t>Melting_Curves/meltCurve_E9PPC8_PPP3CA.pdf</t>
  </si>
  <si>
    <t>Melting_Curves/meltCurve_E9PPJ5_MDK.pdf</t>
  </si>
  <si>
    <t>Melting_Curves/meltCurve_E9PQI5_CHMP4A.pdf</t>
  </si>
  <si>
    <t>Melting_Curves/meltCurve_E9PQY2_PFDN4.pdf</t>
  </si>
  <si>
    <t>Melting_Curves/meltCurve_E9PR30_FAU.pdf</t>
  </si>
  <si>
    <t>Melting_Curves/meltCurve_E9PRR2_PRSS23.pdf</t>
  </si>
  <si>
    <t>Melting_Curves/meltCurve_F2Z2U8_MYH14.pdf</t>
  </si>
  <si>
    <t>Melting_Curves/meltCurve_F2Z393_TALDO1.pdf</t>
  </si>
  <si>
    <t>Melting_Curves/meltCurve_F5GWT4_WNK1.pdf</t>
  </si>
  <si>
    <t>Melting_Curves/meltCurve_F5GWY5_PODXL.pdf</t>
  </si>
  <si>
    <t>Melting_Curves/meltCurve_F5GX71_MPI.pdf</t>
  </si>
  <si>
    <t>Melting_Curves/meltCurve_F5GX85_TRIM3.pdf</t>
  </si>
  <si>
    <t>Melting_Curves/meltCurve_F5GXC3_TRAPPC13.pdf</t>
  </si>
  <si>
    <t>Melting_Curves/meltCurve_F5GXI4_PTPRK.pdf</t>
  </si>
  <si>
    <t>Melting_Curves/meltCurve_F5GXQ0_BROX.pdf</t>
  </si>
  <si>
    <t>Melting_Curves/meltCurve_F5GY03_SPARC.pdf</t>
  </si>
  <si>
    <t>Melting_Curves/meltCurve_F5GY07_STARD10.pdf</t>
  </si>
  <si>
    <t>Melting_Curves/meltCurve_F5GY99_GALNT1.pdf</t>
  </si>
  <si>
    <t>Melting_Curves/meltCurve_F5GYC9_AIF1L.pdf</t>
  </si>
  <si>
    <t>Melting_Curves/meltCurve_F5GYN4_OTUB1.pdf</t>
  </si>
  <si>
    <t>Melting_Curves/meltCurve_F5GYQ6_SH3YL1.pdf</t>
  </si>
  <si>
    <t>Melting_Curves/meltCurve_F5GYU8_TMC5.pdf</t>
  </si>
  <si>
    <t>Melting_Curves/meltCurve_F5GZ54_MCEE.pdf</t>
  </si>
  <si>
    <t>Melting_Curves/meltCurve_F5GZD9_PTHLH.pdf</t>
  </si>
  <si>
    <t>Melting_Curves/meltCurve_F5GZS6_SLC3A2.pdf</t>
  </si>
  <si>
    <t>Melting_Curves/meltCurve_F5GZT4_HNRNPH1.pdf</t>
  </si>
  <si>
    <t>Melting_Curves/meltCurve_F5GZY7_GABARAPL1.pdf</t>
  </si>
  <si>
    <t>Melting_Curves/meltCurve_F5H0B0_TPD52.pdf</t>
  </si>
  <si>
    <t>Melting_Curves/meltCurve_F5H0U9_MYO3A.pdf</t>
  </si>
  <si>
    <t>Melting_Curves/meltCurve_F5H0X8_PDLIM5.pdf</t>
  </si>
  <si>
    <t>Melting_Curves/meltCurve_F5H157_RAB35.pdf</t>
  </si>
  <si>
    <t>Melting_Curves/meltCurve_F5H163_MVK.pdf</t>
  </si>
  <si>
    <t>Melting_Curves/meltCurve_F5H169_PSMD9.pdf</t>
  </si>
  <si>
    <t>Melting_Curves/meltCurve_F5H1S8_MLEC.pdf</t>
  </si>
  <si>
    <t>Melting_Curves/meltCurve_F5H1T5_CLIP1.pdf</t>
  </si>
  <si>
    <t>Melting_Curves/meltCurve_F5H241_GBA.pdf</t>
  </si>
  <si>
    <t>Melting_Curves/meltCurve_F5H2A7_VBP1.pdf</t>
  </si>
  <si>
    <t>Melting_Curves/meltCurve_F5H2F4_MTHFD1.pdf</t>
  </si>
  <si>
    <t>Melting_Curves/meltCurve_F5H2S7_DCTN2.pdf</t>
  </si>
  <si>
    <t>Melting_Curves/meltCurve_F5H335_EIF3A.pdf</t>
  </si>
  <si>
    <t>Melting_Curves/meltCurve_F5H3A0_ARL6IP4.pdf</t>
  </si>
  <si>
    <t>Melting_Curves/meltCurve_F5H3P3_ARHGDIB.pdf</t>
  </si>
  <si>
    <t>Melting_Curves/meltCurve_F5H3X9_PPP2R1A.pdf</t>
  </si>
  <si>
    <t>Melting_Curves/meltCurve_F5H442_TSG101.pdf</t>
  </si>
  <si>
    <t>Melting_Curves/meltCurve_F5H4L7_VPS26A.pdf</t>
  </si>
  <si>
    <t>Melting_Curves/meltCurve_F5H555_CASC1.pdf</t>
  </si>
  <si>
    <t>Melting_Curves/meltCurve_F5H5E8_SCARB1.pdf</t>
  </si>
  <si>
    <t>Melting_Curves/meltCurve_F5H5Q2_ACVR1B.pdf</t>
  </si>
  <si>
    <t>Melting_Curves/meltCurve_F5H5S4_CES4A.pdf</t>
  </si>
  <si>
    <t>Melting_Curves/meltCurve_F5H5Y2_SSR1.pdf</t>
  </si>
  <si>
    <t>Melting_Curves/meltCurve_F5H6E2_MYO1C.pdf</t>
  </si>
  <si>
    <t>Melting_Curves/meltCurve_F5H6I0_B2M.pdf</t>
  </si>
  <si>
    <t>Melting_Curves/meltCurve_F5H6V7_TNFRSF1A.pdf</t>
  </si>
  <si>
    <t>Melting_Curves/meltCurve_F5H7G2_RGMA.pdf</t>
  </si>
  <si>
    <t>Melting_Curves/meltCurve_F5H7N9_MFGE8.pdf</t>
  </si>
  <si>
    <t>Melting_Curves/meltCurve_F5H7R9_PTMS.pdf</t>
  </si>
  <si>
    <t>Melting_Curves/meltCurve_F5H7S3_TPM1.pdf</t>
  </si>
  <si>
    <t>Melting_Curves/meltCurve_F5H7S7_IQGAP2.pdf</t>
  </si>
  <si>
    <t>Melting_Curves/meltCurve_F5H7V1_NRD1.pdf</t>
  </si>
  <si>
    <t>Melting_Curves/meltCurve_F5H827_POMGNT1.pdf</t>
  </si>
  <si>
    <t>Melting_Curves/meltCurve_F5H877_SPINT1.pdf</t>
  </si>
  <si>
    <t>Melting_Curves/meltCurve_F6SKP1_GPNMB.pdf</t>
  </si>
  <si>
    <t>Melting_Curves/meltCurve_F6U1T9_PPP3R1.pdf</t>
  </si>
  <si>
    <t>Melting_Curves/meltCurve_F6UPZ7_TNFRSF14.pdf</t>
  </si>
  <si>
    <t>Melting_Curves/meltCurve_F6UXX1_SYNCRIP.pdf</t>
  </si>
  <si>
    <t>Melting_Curves/meltCurve_F8VPE8_RPLP0.pdf</t>
  </si>
  <si>
    <t>Melting_Curves/meltCurve_F8VQX6_METTL7A.pdf</t>
  </si>
  <si>
    <t>Melting_Curves/meltCurve_F8VR82_PPP1CC.pdf</t>
  </si>
  <si>
    <t>Melting_Curves/meltCurve_F8VRJ2_NAP1L1.pdf</t>
  </si>
  <si>
    <t>Melting_Curves/meltCurve_F8VRR3_METAP2.pdf</t>
  </si>
  <si>
    <t>Melting_Curves/meltCurve_F8VRX1_RAPGEF3.pdf</t>
  </si>
  <si>
    <t>Melting_Curves/meltCurve_F8VSA6_NEDD8.pdf</t>
  </si>
  <si>
    <t>Melting_Curves/meltCurve_F8VSH3_PRKAG1.pdf</t>
  </si>
  <si>
    <t>Melting_Curves/meltCurve_F8VU90_FKBP11.pdf</t>
  </si>
  <si>
    <t>Melting_Curves/meltCurve_F8VUJ3_POC1B_GALNT4.pdf</t>
  </si>
  <si>
    <t>Melting_Curves/meltCurve_F8VV13_MUCL1.pdf</t>
  </si>
  <si>
    <t>Melting_Curves/meltCurve_F8VVL1_DENR.pdf</t>
  </si>
  <si>
    <t>Melting_Curves/meltCurve_F8VWH5_SCNN1D.pdf</t>
  </si>
  <si>
    <t>Melting_Curves/meltCurve_F8VWT8_BRF1.pdf</t>
  </si>
  <si>
    <t>Melting_Curves/meltCurve_F8VXU5_VPS29.pdf</t>
  </si>
  <si>
    <t>Melting_Curves/meltCurve_F8VYK9_IGFBP6.pdf</t>
  </si>
  <si>
    <t>Melting_Curves/meltCurve_F8VYZ3_SDSL.pdf</t>
  </si>
  <si>
    <t>Melting_Curves/meltCurve_F8VZJ2_NACA.pdf</t>
  </si>
  <si>
    <t>Melting_Curves/meltCurve_F8VZY9_KRT18.pdf</t>
  </si>
  <si>
    <t>Melting_Curves/meltCurve_F8W181_RPL6.pdf</t>
  </si>
  <si>
    <t>Melting_Curves/meltCurve_F8W1Q3_BTD.pdf</t>
  </si>
  <si>
    <t>Melting_Curves/meltCurve_F8W1R7_MYL6.pdf</t>
  </si>
  <si>
    <t>Melting_Curves/meltCurve_F8W785_GOLIM4.pdf</t>
  </si>
  <si>
    <t>Melting_Curves/meltCurve_F8W7D6_GPHN.pdf</t>
  </si>
  <si>
    <t>Melting_Curves/meltCurve_F8W7M9_FBLN1.pdf</t>
  </si>
  <si>
    <t>Melting_Curves/meltCurve_F8W8D8_PLS3.pdf</t>
  </si>
  <si>
    <t>Melting_Curves/meltCurve_F8W8S0_DYNC1I2.pdf</t>
  </si>
  <si>
    <t>Melting_Curves/meltCurve_F8W8T8_ACACB.pdf</t>
  </si>
  <si>
    <t>Melting_Curves/meltCurve_F8W914_RTN4.pdf</t>
  </si>
  <si>
    <t>Melting_Curves/meltCurve_F8W9L1_SERPINB4.pdf</t>
  </si>
  <si>
    <t>Melting_Curves/meltCurve_F8W9Y0_STX3.pdf</t>
  </si>
  <si>
    <t>Melting_Curves/meltCurve_F8WB82_GALM.pdf</t>
  </si>
  <si>
    <t>Melting_Curves/meltCurve_F8WC54_ADAM9.pdf</t>
  </si>
  <si>
    <t>Melting_Curves/meltCurve_F8WCF6_ARPC4.pdf</t>
  </si>
  <si>
    <t>Melting_Curves/meltCurve_F8WCQ2_SACM1L.pdf</t>
  </si>
  <si>
    <t>Melting_Curves/meltCurve_F8WDS9_LANCL1.pdf</t>
  </si>
  <si>
    <t>Melting_Curves/meltCurve_F8WEF7_DMBT1.pdf</t>
  </si>
  <si>
    <t>Melting_Curves/meltCurve_F8WF57_SIRT2.pdf</t>
  </si>
  <si>
    <t>Melting_Curves/meltCurve_F8WF69_CLTA.pdf</t>
  </si>
  <si>
    <t>Melting_Curves/meltCurve_F8WFB9_SH3GLB2.pdf</t>
  </si>
  <si>
    <t>Melting_Curves/meltCurve_G3V0E5_TFRC.pdf</t>
  </si>
  <si>
    <t>Melting_Curves/meltCurve_G3V0F0_C16orf89.pdf</t>
  </si>
  <si>
    <t>Melting_Curves/meltCurve_G3V113_UBE2V2.pdf</t>
  </si>
  <si>
    <t>Melting_Curves/meltCurve_G3V1A4_CFL1.pdf</t>
  </si>
  <si>
    <t>Melting_Curves/meltCurve_G3V1C5_IL18BP.pdf</t>
  </si>
  <si>
    <t>Melting_Curves/meltCurve_G3V1D3_DPP3.pdf</t>
  </si>
  <si>
    <t>Melting_Curves/meltCurve_G3V1J9_TMED3.pdf</t>
  </si>
  <si>
    <t>Melting_Curves/meltCurve_G3V1K0_TXNL1.pdf</t>
  </si>
  <si>
    <t>Melting_Curves/meltCurve_G3V203_RPL18.pdf</t>
  </si>
  <si>
    <t>Melting_Curves/meltCurve_G3V213_AK2.pdf</t>
  </si>
  <si>
    <t>Melting_Curves/meltCurve_G3V2F7_TMEM189.pdf</t>
  </si>
  <si>
    <t>Melting_Curves/meltCurve_G3V2G6_RDH11.pdf</t>
  </si>
  <si>
    <t>Melting_Curves/meltCurve_G3V2W1_SERPINA10.pdf</t>
  </si>
  <si>
    <t>Melting_Curves/meltCurve_G3V2W9_EAPP.pdf</t>
  </si>
  <si>
    <t>Melting_Curves/meltCurve_G3V3E1_SKOR1.pdf</t>
  </si>
  <si>
    <t>Melting_Curves/meltCurve_G3V3Z5_FAM177A1.pdf</t>
  </si>
  <si>
    <t>Melting_Curves/meltCurve_G3V4U0_FBLN5.pdf</t>
  </si>
  <si>
    <t>Melting_Curves/meltCurve_G3V511_LTBP2.pdf</t>
  </si>
  <si>
    <t>Melting_Curves/meltCurve_G3V578_NDRG2.pdf</t>
  </si>
  <si>
    <t>Melting_Curves/meltCurve_G3V5E4_GNPNAT1.pdf</t>
  </si>
  <si>
    <t>Melting_Curves/meltCurve_G3V5I3_SERPINA3.pdf</t>
  </si>
  <si>
    <t>Melting_Curves/meltCurve_G3V5Z7_PSMA6.pdf</t>
  </si>
  <si>
    <t>Melting_Curves/meltCurve_G3XAB3_TTC17.pdf</t>
  </si>
  <si>
    <t>Melting_Curves/meltCurve_G3XAE6_SULF2.pdf</t>
  </si>
  <si>
    <t>Melting_Curves/meltCurve_G3XAI2_LAMB1.pdf</t>
  </si>
  <si>
    <t>Melting_Curves/meltCurve_G3XAK1_MST1.pdf</t>
  </si>
  <si>
    <t>Melting_Curves/meltCurve_G3XAM2_CFI.pdf</t>
  </si>
  <si>
    <t>Melting_Curves/meltCurve_G5E9F8_PROS1.pdf</t>
  </si>
  <si>
    <t>Melting_Curves/meltCurve_G5E9W8_GYG1.pdf</t>
  </si>
  <si>
    <t>Melting_Curves/meltCurve_G5EA09_SDCBP.pdf</t>
  </si>
  <si>
    <t>Melting_Curves/meltCurve_G5EA52_PDIA3.pdf</t>
  </si>
  <si>
    <t>Melting_Curves/meltCurve_G8JL88_APOL1.pdf</t>
  </si>
  <si>
    <t>Melting_Curves/meltCurve_G8JLA8_TGFBI.pdf</t>
  </si>
  <si>
    <t>Melting_Curves/meltCurve_G8JLC6_MIA3.pdf</t>
  </si>
  <si>
    <t>Melting_Curves/meltCurve_H0Y3D0_ENTPD6.pdf</t>
  </si>
  <si>
    <t>Melting_Curves/meltCurve_H0Y3V5_THADA.pdf</t>
  </si>
  <si>
    <t>Melting_Curves/meltCurve_H0Y449_YBX1.pdf</t>
  </si>
  <si>
    <t>Melting_Curves/meltCurve_H0Y4H3_CD99L2.pdf</t>
  </si>
  <si>
    <t>Melting_Curves/meltCurve_H0Y4T6_PIN4.pdf</t>
  </si>
  <si>
    <t>Melting_Curves/meltCurve_H0Y4U3_FCGR3B.pdf</t>
  </si>
  <si>
    <t>Melting_Curves/meltCurve_H0Y555_PSMF1.pdf</t>
  </si>
  <si>
    <t>Melting_Curves/meltCurve_H0Y5A1_PTGDS.pdf</t>
  </si>
  <si>
    <t>Melting_Curves/meltCurve_H0Y614_UFM1.pdf</t>
  </si>
  <si>
    <t>Melting_Curves/meltCurve_H0Y6T4_ACADSB.pdf</t>
  </si>
  <si>
    <t>Melting_Curves/meltCurve_H0Y6W5_BNC2.pdf</t>
  </si>
  <si>
    <t>Melting_Curves/meltCurve_H0Y750_ATP6AP2.pdf</t>
  </si>
  <si>
    <t>Melting_Curves/meltCurve_H0Y7F0_CAST.pdf</t>
  </si>
  <si>
    <t>Melting_Curves/meltCurve_H0Y7S3_ATP2B2.pdf</t>
  </si>
  <si>
    <t>Melting_Curves/meltCurve_H0Y8K1_CSN1S1.pdf</t>
  </si>
  <si>
    <t>Melting_Curves/meltCurve_H0Y8X4_DNPH1.pdf</t>
  </si>
  <si>
    <t>Melting_Curves/meltCurve_H0YA52_PCBD2.pdf</t>
  </si>
  <si>
    <t>Melting_Curves/meltCurve_H0YAC1_KLKB1.pdf</t>
  </si>
  <si>
    <t>Melting_Curves/meltCurve_H0YAK8_RBP1.pdf</t>
  </si>
  <si>
    <t>Melting_Curves/meltCurve_H0YAR1_LOXL2.pdf</t>
  </si>
  <si>
    <t>Melting_Curves/meltCurve_H0YB13_STC2.pdf</t>
  </si>
  <si>
    <t>Melting_Curves/meltCurve_H0YBZ2_CD74.pdf</t>
  </si>
  <si>
    <t>Melting_Curves/meltCurve_H0YCX6_LTBP3.pdf</t>
  </si>
  <si>
    <t>Melting_Curves/meltCurve_H0YD13_CD44.pdf</t>
  </si>
  <si>
    <t>Melting_Curves/meltCurve_H0YDT6_EIF3F.pdf</t>
  </si>
  <si>
    <t>Melting_Curves/meltCurve_H0YEN5_RPS2.pdf</t>
  </si>
  <si>
    <t>Melting_Curves/meltCurve_H0YEP5_SMPD1.pdf</t>
  </si>
  <si>
    <t>Melting_Curves/meltCurve_H0YFA4_CRIP2.pdf</t>
  </si>
  <si>
    <t>Melting_Curves/meltCurve_H0YFC6_RAN.pdf</t>
  </si>
  <si>
    <t>Melting_Curves/meltCurve_H0YFS9_GLTP.pdf</t>
  </si>
  <si>
    <t>Melting_Curves/meltCurve_H0YGL6_RAB6A.pdf</t>
  </si>
  <si>
    <t>Melting_Curves/meltCurve_H0YGV7_MAN1B1.pdf</t>
  </si>
  <si>
    <t>Melting_Curves/meltCurve_H0YII4_DDI2.pdf</t>
  </si>
  <si>
    <t>Melting_Curves/meltCurve_H0YJ34_FERMT2.pdf</t>
  </si>
  <si>
    <t>Melting_Curves/meltCurve_H0YJG7_AHSA1.pdf</t>
  </si>
  <si>
    <t>Melting_Curves/meltCurve_H0YJS4_EIF2S1.pdf</t>
  </si>
  <si>
    <t>Melting_Curves/meltCurve_H0YJV2_SPTLC2.pdf</t>
  </si>
  <si>
    <t>Melting_Curves/meltCurve_H0YJV3_NID2.pdf</t>
  </si>
  <si>
    <t>Melting_Curves/meltCurve_H0YK42_SNX1.pdf</t>
  </si>
  <si>
    <t>Melting_Curves/meltCurve_H0YKU1_TMOD3.pdf</t>
  </si>
  <si>
    <t>Melting_Curves/meltCurve_H0YKY0_CINP.pdf</t>
  </si>
  <si>
    <t>Melting_Curves/meltCurve_H0YLA2_SRP14.pdf</t>
  </si>
  <si>
    <t>Melting_Curves/meltCurve_H0YLC8_PCSK6.pdf</t>
  </si>
  <si>
    <t>Melting_Curves/meltCurve_H0YLY7_CHP1.pdf</t>
  </si>
  <si>
    <t>Melting_Curves/meltCurve_H0YM03_COPS2.pdf</t>
  </si>
  <si>
    <t>Melting_Curves/meltCurve_H0YM70_PSME2.pdf</t>
  </si>
  <si>
    <t>Melting_Curves/meltCurve_H0YMB1_RMDN3.pdf</t>
  </si>
  <si>
    <t>Melting_Curves/meltCurve_H0YMB3_GMPR2.pdf</t>
  </si>
  <si>
    <t>Melting_Curves/meltCurve_H0YMM1_ANXA2.pdf</t>
  </si>
  <si>
    <t>Melting_Curves/meltCurve_H0YN18_PSMA4.pdf</t>
  </si>
  <si>
    <t>Melting_Curves/meltCurve_H0YN26_ANP32A.pdf</t>
  </si>
  <si>
    <t>Melting_Curves/meltCurve_H0YN29_CD276.pdf</t>
  </si>
  <si>
    <t>Melting_Curves/meltCurve_H0YN73_RPS17L.pdf</t>
  </si>
  <si>
    <t>Melting_Curves/meltCurve_H0YNE3_PSME1.pdf</t>
  </si>
  <si>
    <t>Melting_Curves/meltCurve_H0YNE9_RAB8B.pdf</t>
  </si>
  <si>
    <t>Melting_Curves/meltCurve_H3BLT5_KIAA1109.pdf</t>
  </si>
  <si>
    <t>Melting_Curves/meltCurve_H3BLU7_AKR7A2.pdf</t>
  </si>
  <si>
    <t>Melting_Curves/meltCurve_H3BMB5_TNFRSF17.pdf</t>
  </si>
  <si>
    <t>Melting_Curves/meltCurve_H3BMF2_JMJD8.pdf</t>
  </si>
  <si>
    <t>Melting_Curves/meltCurve_H3BMQ1_PFDN5.pdf</t>
  </si>
  <si>
    <t>Melting_Curves/meltCurve_H3BMT0_HN1L.pdf</t>
  </si>
  <si>
    <t>Melting_Curves/meltCurve_H3BNC6_CDH1.pdf</t>
  </si>
  <si>
    <t>Melting_Curves/meltCurve_H3BPG7_CIAPIN1.pdf</t>
  </si>
  <si>
    <t>Melting_Curves/meltCurve_H3BPK3_HAGH.pdf</t>
  </si>
  <si>
    <t>Melting_Curves/meltCurve_H3BQ06_.pdf</t>
  </si>
  <si>
    <t>Melting_Curves/meltCurve_H3BQ52_ARPP19.pdf</t>
  </si>
  <si>
    <t>Melting_Curves/meltCurve_H3BQ94_NPTN.pdf</t>
  </si>
  <si>
    <t>Melting_Curves/meltCurve_H3BQB1_APRT.pdf</t>
  </si>
  <si>
    <t>Melting_Curves/meltCurve_H3BRV0_EIF3C.pdf</t>
  </si>
  <si>
    <t>Melting_Curves/meltCurve_H3BS10_HEXA.pdf</t>
  </si>
  <si>
    <t>Melting_Curves/meltCurve_H3BSW0_LRRC57.pdf</t>
  </si>
  <si>
    <t>Melting_Curves/meltCurve_H3BTH8_HAPLN3.pdf</t>
  </si>
  <si>
    <t>Melting_Curves/meltCurve_H3BTZ5_CNN2.pdf</t>
  </si>
  <si>
    <t>Melting_Curves/meltCurve_H3BUA3_CES3.pdf</t>
  </si>
  <si>
    <t>Melting_Curves/meltCurve_H3BV04_SCAMP2.pdf</t>
  </si>
  <si>
    <t>Melting_Curves/meltCurve_H3BV55_PMM2.pdf</t>
  </si>
  <si>
    <t>Melting_Curves/meltCurve_H3BVC7_RPS15A.pdf</t>
  </si>
  <si>
    <t>Melting_Curves/meltCurve_H7BXG7_SEC31A.pdf</t>
  </si>
  <si>
    <t>Melting_Curves/meltCurve_H7BXR3_SORBS2.pdf</t>
  </si>
  <si>
    <t>Melting_Curves/meltCurve_H7BY10_RPL23A.pdf</t>
  </si>
  <si>
    <t>Melting_Curves/meltCurve_H7BY58_PCMT1.pdf</t>
  </si>
  <si>
    <t>Melting_Curves/meltCurve_H7BZJ3_PDIA3.pdf</t>
  </si>
  <si>
    <t>Melting_Curves/meltCurve_H7BZT4_.pdf</t>
  </si>
  <si>
    <t>Melting_Curves/meltCurve_H7BZT7_ESD.pdf</t>
  </si>
  <si>
    <t>Melting_Curves/meltCurve_H7BZY9_ABHD5.pdf</t>
  </si>
  <si>
    <t>Melting_Curves/meltCurve_H7C089_TTC38.pdf</t>
  </si>
  <si>
    <t>Melting_Curves/meltCurve_H7C123_RPL10.pdf</t>
  </si>
  <si>
    <t>Melting_Curves/meltCurve_H7C131_ACAA1.pdf</t>
  </si>
  <si>
    <t>Melting_Curves/meltCurve_H7C1T7_COPG2.pdf</t>
  </si>
  <si>
    <t>Melting_Curves/meltCurve_H7C1U0_APEH.pdf</t>
  </si>
  <si>
    <t>Melting_Curves/meltCurve_H7C284_MFSD6.pdf</t>
  </si>
  <si>
    <t>Melting_Curves/meltCurve_H7C2I8_ILKAP.pdf</t>
  </si>
  <si>
    <t>Melting_Curves/meltCurve_H7C2S8_PLOD3.pdf</t>
  </si>
  <si>
    <t>Melting_Curves/meltCurve_H7C3L5_TAX1BP1.pdf</t>
  </si>
  <si>
    <t>Melting_Curves/meltCurve_H7C3P4_GNS.pdf</t>
  </si>
  <si>
    <t>Melting_Curves/meltCurve_H7C3P7_RALA.pdf</t>
  </si>
  <si>
    <t>Melting_Curves/meltCurve_H7C472_ST6GAL1.pdf</t>
  </si>
  <si>
    <t>Melting_Curves/meltCurve_H7C570_GPR110.pdf</t>
  </si>
  <si>
    <t>Melting_Curves/meltCurve_H9KV70_LCN2.pdf</t>
  </si>
  <si>
    <t>Melting_Curves/meltCurve_I3L0H8_DDX19A.pdf</t>
  </si>
  <si>
    <t>Melting_Curves/meltCurve_I3L0N3_NSF.pdf</t>
  </si>
  <si>
    <t>Melting_Curves/meltCurve_I3L1J1_SHBG.pdf</t>
  </si>
  <si>
    <t>Melting_Curves/meltCurve_I3L1J2_CDH5.pdf</t>
  </si>
  <si>
    <t>Melting_Curves/meltCurve_I3L1P5_HGS.pdf</t>
  </si>
  <si>
    <t>Melting_Curves/meltCurve_I3L1Q1_TOM1L1.pdf</t>
  </si>
  <si>
    <t>Melting_Curves/meltCurve_I3L2G3_FN3KRP.pdf</t>
  </si>
  <si>
    <t>Melting_Curves/meltCurve_I3L397_EIF5A.pdf</t>
  </si>
  <si>
    <t>Melting_Curves/meltCurve_I3L459_PITPNA.pdf</t>
  </si>
  <si>
    <t>Melting_Curves/meltCurve_I3L4C2_BAIAP2.pdf</t>
  </si>
  <si>
    <t>Melting_Curves/meltCurve_I6L8B7_FABP5.pdf</t>
  </si>
  <si>
    <t>Melting_Curves/meltCurve_J3KMX5_RPS13.pdf</t>
  </si>
  <si>
    <t>Melting_Curves/meltCurve_J3KMY5_NPC2.pdf</t>
  </si>
  <si>
    <t>Melting_Curves/meltCurve_J3KMZ9_LDLR.pdf</t>
  </si>
  <si>
    <t>Melting_Curves/meltCurve_J3KN08_MATN2.pdf</t>
  </si>
  <si>
    <t>Melting_Curves/meltCurve_J3KN16_KIAA0368.pdf</t>
  </si>
  <si>
    <t>Melting_Curves/meltCurve_J3KN36_NOMO3.pdf</t>
  </si>
  <si>
    <t>Melting_Curves/meltCurve_J3KNP4_SEMA4B.pdf</t>
  </si>
  <si>
    <t>Melting_Curves/meltCurve_J3KNT0_FSCN1.pdf</t>
  </si>
  <si>
    <t>Melting_Curves/meltCurve_J3KPI3_KIAA1551.pdf</t>
  </si>
  <si>
    <t>Melting_Curves/meltCurve_J3KPL1_PNPLA8.pdf</t>
  </si>
  <si>
    <t>Melting_Curves/meltCurve_J3KPS3_ALDOA.pdf</t>
  </si>
  <si>
    <t>Melting_Curves/meltCurve_J3KQ32_OLA1.pdf</t>
  </si>
  <si>
    <t>Melting_Curves/meltCurve_J3KQ45_TGOLN2.pdf</t>
  </si>
  <si>
    <t>Melting_Curves/meltCurve_J3KQ99_HLA_DPA1.pdf</t>
  </si>
  <si>
    <t>Melting_Curves/meltCurve_J3KR88_CORIN.pdf</t>
  </si>
  <si>
    <t>Melting_Curves/meltCurve_J3KRP0_CNDP1.pdf</t>
  </si>
  <si>
    <t>Melting_Curves/meltCurve_J3KSH8_HN1.pdf</t>
  </si>
  <si>
    <t>Melting_Curves/meltCurve_J3KSJ8_PPP1R1B.pdf</t>
  </si>
  <si>
    <t>Melting_Curves/meltCurve_J3KT79_SCRN2.pdf</t>
  </si>
  <si>
    <t>Melting_Curves/meltCurve_J3KTF8_ARHGDIA.pdf</t>
  </si>
  <si>
    <t>Melting_Curves/meltCurve_J3KTI2_MIEN1.pdf</t>
  </si>
  <si>
    <t>Melting_Curves/meltCurve_J3KTJ1_MYL12A.pdf</t>
  </si>
  <si>
    <t>Melting_Curves/meltCurve_J3QK90_NSFL1C.pdf</t>
  </si>
  <si>
    <t>Melting_Curves/meltCurve_J3QKL6_TRAPPC8.pdf</t>
  </si>
  <si>
    <t>Melting_Curves/meltCurve_J3QKW8_CLUL1.pdf</t>
  </si>
  <si>
    <t>Melting_Curves/meltCurve_J3QL81_ENOSF1.pdf</t>
  </si>
  <si>
    <t>Melting_Curves/meltCurve_J3QLM9_DNAH9.pdf</t>
  </si>
  <si>
    <t>Melting_Curves/meltCurve_J3QQT2_RPL17.pdf</t>
  </si>
  <si>
    <t>Melting_Curves/meltCurve_J3QS03_TWSG1.pdf</t>
  </si>
  <si>
    <t>Melting_Curves/meltCurve_J3QS45_DCXR.pdf</t>
  </si>
  <si>
    <t>Melting_Curves/meltCurve_J3QSB4_RPL13.pdf</t>
  </si>
  <si>
    <t>Melting_Curves/meltCurve_J3QSE5_LCAT.pdf</t>
  </si>
  <si>
    <t>Melting_Curves/meltCurve_J9JIE0_GPRC5C.pdf</t>
  </si>
  <si>
    <t>Melting_Curves/meltCurve_K7EIJ0_WBP2.pdf</t>
  </si>
  <si>
    <t>Melting_Curves/meltCurve_K7EIJ6_MYO5B.pdf</t>
  </si>
  <si>
    <t>Melting_Curves/meltCurve_K7EJR3_PSMD8.pdf</t>
  </si>
  <si>
    <t>Melting_Curves/meltCurve_K7EJT5_RPL22.pdf</t>
  </si>
  <si>
    <t>Melting_Curves/meltCurve_K7EK35_STAT5A.pdf</t>
  </si>
  <si>
    <t>Melting_Curves/meltCurve_K7EK45_PTBP1.pdf</t>
  </si>
  <si>
    <t>Melting_Curves/meltCurve_K7EKV4_VPS25.pdf</t>
  </si>
  <si>
    <t>Melting_Curves/meltCurve_K7EL62_GNA11.pdf</t>
  </si>
  <si>
    <t>Melting_Curves/meltCurve_K7EL68_CDC37.pdf</t>
  </si>
  <si>
    <t>Melting_Curves/meltCurve_K7EL76_KLC3.pdf</t>
  </si>
  <si>
    <t>Melting_Curves/meltCurve_K7ELL7_PRKCSH.pdf</t>
  </si>
  <si>
    <t>Melting_Curves/meltCurve_K7EM02_KATNAL2.pdf</t>
  </si>
  <si>
    <t>Melting_Curves/meltCurve_K7EM18_EIF1.pdf</t>
  </si>
  <si>
    <t>Melting_Curves/meltCurve_K7EMD6_SGTA.pdf</t>
  </si>
  <si>
    <t>Melting_Curves/meltCurve_K7EMS3_KRT19.pdf</t>
  </si>
  <si>
    <t>Melting_Curves/meltCurve_K7EMV3_H3F3B.pdf</t>
  </si>
  <si>
    <t>Melting_Curves/meltCurve_K7ENS2_TBCB.pdf</t>
  </si>
  <si>
    <t>Melting_Curves/meltCurve_K7EP80_CAPNS1.pdf</t>
  </si>
  <si>
    <t>Melting_Curves/meltCurve_K7EQA1_PDCD5.pdf</t>
  </si>
  <si>
    <t>Melting_Curves/meltCurve_K7EQZ3_.pdf</t>
  </si>
  <si>
    <t>Melting_Curves/meltCurve_K7ERG9_CFD.pdf</t>
  </si>
  <si>
    <t>Melting_Curves/meltCurve_K7ERI9_APOC1.pdf</t>
  </si>
  <si>
    <t>Melting_Curves/meltCurve_K7ERP4_GPX4.pdf</t>
  </si>
  <si>
    <t>Melting_Curves/meltCurve_K7ES02_BLMH.pdf</t>
  </si>
  <si>
    <t>Melting_Curves/meltCurve_K7ES31_EIF3K.pdf</t>
  </si>
  <si>
    <t>Melting_Curves/meltCurve_K7ESE3_RAD23A.pdf</t>
  </si>
  <si>
    <t>Melting_Curves/meltCurve_K7ESI9_DNM2.pdf</t>
  </si>
  <si>
    <t>Melting_Curves/meltCurve_M0QX57_KLK3.pdf</t>
  </si>
  <si>
    <t>Melting_Curves/meltCurve_M0QXF7_C19orf10.pdf</t>
  </si>
  <si>
    <t>Melting_Curves/meltCurve_M0QY29_LIPE.pdf</t>
  </si>
  <si>
    <t>Melting_Curves/meltCurve_M0QYE0_SH3GL1.pdf</t>
  </si>
  <si>
    <t>Melting_Curves/meltCurve_M0QYG8_GMFG.pdf</t>
  </si>
  <si>
    <t>Melting_Curves/meltCurve_M0QYS1_RPL13A.pdf</t>
  </si>
  <si>
    <t>Melting_Curves/meltCurve_M0QZ21_AP2S1.pdf</t>
  </si>
  <si>
    <t>Melting_Curves/meltCurve_M0QZN2_RPS5.pdf</t>
  </si>
  <si>
    <t>Melting_Curves/meltCurve_M0R081_CLEC11A.pdf</t>
  </si>
  <si>
    <t>Melting_Curves/meltCurve_M0R0Y2_NAPA.pdf</t>
  </si>
  <si>
    <t>Melting_Curves/meltCurve_M0R1E0_RAB4B.pdf</t>
  </si>
  <si>
    <t>Melting_Curves/meltCurve_M0R1L7_CHMP2A.pdf</t>
  </si>
  <si>
    <t>Melting_Curves/meltCurve_M0R2K4_CEACAM1.pdf</t>
  </si>
  <si>
    <t>Melting_Curves/meltCurve_M0R2L9_RPS19.pdf</t>
  </si>
  <si>
    <t>Melting_Curves/meltCurve_M0R2Y5_MUC16.pdf</t>
  </si>
  <si>
    <t>Melting_Curves/meltCurve_M0R3C9_NOTCH3.pdf</t>
  </si>
  <si>
    <t>Melting_Curves/meltCurve_M0R3D6_RPL18A.pdf</t>
  </si>
  <si>
    <t>Melting_Curves/meltCurve_O00161_SNAP23.pdf</t>
  </si>
  <si>
    <t>Melting_Curves/meltCurve_O00206_2_TLR4.pdf</t>
  </si>
  <si>
    <t>Melting_Curves/meltCurve_O00231_PSMD11.pdf</t>
  </si>
  <si>
    <t>Melting_Curves/meltCurve_O00232_2_PSMD12.pdf</t>
  </si>
  <si>
    <t>Melting_Curves/meltCurve_O00264_PGRMC1.pdf</t>
  </si>
  <si>
    <t>Melting_Curves/meltCurve_O00273_2_DFFA.pdf</t>
  </si>
  <si>
    <t>Melting_Curves/meltCurve_O00292_2_LEFTY2.pdf</t>
  </si>
  <si>
    <t>Melting_Curves/meltCurve_O00299_CLIC1.pdf</t>
  </si>
  <si>
    <t>Melting_Curves/meltCurve_O00300_TNFRSF11B.pdf</t>
  </si>
  <si>
    <t>Melting_Curves/meltCurve_O00391_QSOX1.pdf</t>
  </si>
  <si>
    <t>Melting_Curves/meltCurve_O00410_IPO5.pdf</t>
  </si>
  <si>
    <t>Melting_Curves/meltCurve_O00462_MANBA.pdf</t>
  </si>
  <si>
    <t>Melting_Curves/meltCurve_O00468_2_AGRN.pdf</t>
  </si>
  <si>
    <t>Melting_Curves/meltCurve_O00499_9_BIN1.pdf</t>
  </si>
  <si>
    <t>Melting_Curves/meltCurve_O00560_SDCBP.pdf</t>
  </si>
  <si>
    <t>Melting_Curves/meltCurve_O00622_CYR61.pdf</t>
  </si>
  <si>
    <t>Melting_Curves/meltCurve_O00625_PIR.pdf</t>
  </si>
  <si>
    <t>Melting_Curves/meltCurve_O00754_MAN2B1.pdf</t>
  </si>
  <si>
    <t>Melting_Curves/meltCurve_O00757_FBP2.pdf</t>
  </si>
  <si>
    <t>Melting_Curves/meltCurve_O00764_PDXK.pdf</t>
  </si>
  <si>
    <t>Melting_Curves/meltCurve_O14498_ISLR.pdf</t>
  </si>
  <si>
    <t>Melting_Curves/meltCurve_O14657_TOR1B.pdf</t>
  </si>
  <si>
    <t>Melting_Curves/meltCurve_O14672_ADAM10.pdf</t>
  </si>
  <si>
    <t>Melting_Curves/meltCurve_O14745_SLC9A3R1.pdf</t>
  </si>
  <si>
    <t>Melting_Curves/meltCurve_O14773_TPP1.pdf</t>
  </si>
  <si>
    <t>Melting_Curves/meltCurve_O14807_MRAS.pdf</t>
  </si>
  <si>
    <t>Melting_Curves/meltCurve_O14818_PSMA7.pdf</t>
  </si>
  <si>
    <t>Melting_Curves/meltCurve_O14841_OPLAH.pdf</t>
  </si>
  <si>
    <t>Melting_Curves/meltCurve_O15031_PLXNB2.pdf</t>
  </si>
  <si>
    <t>Melting_Curves/meltCurve_O15072_ADAMTS3.pdf</t>
  </si>
  <si>
    <t>Melting_Curves/meltCurve_O15143_ARPC1B.pdf</t>
  </si>
  <si>
    <t>Melting_Curves/meltCurve_O15144_ARPC2.pdf</t>
  </si>
  <si>
    <t>Melting_Curves/meltCurve_O15145_ARPC3.pdf</t>
  </si>
  <si>
    <t>Melting_Curves/meltCurve_O15204_2_ADAMDEC1.pdf</t>
  </si>
  <si>
    <t>Melting_Curves/meltCurve_O15212_PFDN6.pdf</t>
  </si>
  <si>
    <t>Melting_Curves/meltCurve_O15230_LAMA5.pdf</t>
  </si>
  <si>
    <t>Melting_Curves/meltCurve_O15232_MATN3.pdf</t>
  </si>
  <si>
    <t>Melting_Curves/meltCurve_O15400_2_STX7.pdf</t>
  </si>
  <si>
    <t>Melting_Curves/meltCurve_O15511_ARPC5.pdf</t>
  </si>
  <si>
    <t>Melting_Curves/meltCurve_O15540_FABP7.pdf</t>
  </si>
  <si>
    <t>Melting_Curves/meltCurve_O43155_FLRT2.pdf</t>
  </si>
  <si>
    <t>Melting_Curves/meltCurve_O43175_PHGDH.pdf</t>
  </si>
  <si>
    <t>Melting_Curves/meltCurve_O43242_PSMD3.pdf</t>
  </si>
  <si>
    <t>Melting_Curves/meltCurve_O43286_B4GALT5.pdf</t>
  </si>
  <si>
    <t>Melting_Curves/meltCurve_O43291_SPINT2.pdf</t>
  </si>
  <si>
    <t>Melting_Curves/meltCurve_O43399_2_TPD52L2.pdf</t>
  </si>
  <si>
    <t>Melting_Curves/meltCurve_O43490_5_PROM1.pdf</t>
  </si>
  <si>
    <t>Melting_Curves/meltCurve_O43505_B3GNT1.pdf</t>
  </si>
  <si>
    <t>Melting_Curves/meltCurve_O43508_2_TNFSF12.pdf</t>
  </si>
  <si>
    <t>Melting_Curves/meltCurve_O43657_TSPAN6.pdf</t>
  </si>
  <si>
    <t>Melting_Curves/meltCurve_O43681_ASNA1.pdf</t>
  </si>
  <si>
    <t>Melting_Curves/meltCurve_O43707_ACTN4.pdf</t>
  </si>
  <si>
    <t>Melting_Curves/meltCurve_O43708_3_GSTZ1.pdf</t>
  </si>
  <si>
    <t>Melting_Curves/meltCurve_O43776_NARS.pdf</t>
  </si>
  <si>
    <t>Melting_Curves/meltCurve_O43852_2_CALU.pdf</t>
  </si>
  <si>
    <t>Melting_Curves/meltCurve_O43866_CD5L.pdf</t>
  </si>
  <si>
    <t>Melting_Curves/meltCurve_O60259_KLK8.pdf</t>
  </si>
  <si>
    <t>Melting_Curves/meltCurve_O60262_GNG7.pdf</t>
  </si>
  <si>
    <t>Melting_Curves/meltCurve_O60271_5_SPAG9.pdf</t>
  </si>
  <si>
    <t>Melting_Curves/meltCurve_O60343_2_TBC1D4.pdf</t>
  </si>
  <si>
    <t>Melting_Curves/meltCurve_O60476_MAN1A2.pdf</t>
  </si>
  <si>
    <t>Melting_Curves/meltCurve_O60488_2_ACSL4.pdf</t>
  </si>
  <si>
    <t>Melting_Curves/meltCurve_O60543_CIDEA.pdf</t>
  </si>
  <si>
    <t>Melting_Curves/meltCurve_O60547_2_GMDS.pdf</t>
  </si>
  <si>
    <t>Melting_Curves/meltCurve_O60603_TLR2.pdf</t>
  </si>
  <si>
    <t>Melting_Curves/meltCurve_O60613_SEP15.pdf</t>
  </si>
  <si>
    <t>Melting_Curves/meltCurve_O60664_4_PLIN3.pdf</t>
  </si>
  <si>
    <t>Melting_Curves/meltCurve_O60763_USO1.pdf</t>
  </si>
  <si>
    <t>Melting_Curves/meltCurve_O60869_2_EDF1.pdf</t>
  </si>
  <si>
    <t>Melting_Curves/meltCurve_O75054_IGSF3.pdf</t>
  </si>
  <si>
    <t>Melting_Curves/meltCurve_O75071_EFCAB14.pdf</t>
  </si>
  <si>
    <t>Melting_Curves/meltCurve_O75083_WDR1.pdf</t>
  </si>
  <si>
    <t>Melting_Curves/meltCurve_O75223_GGCT.pdf</t>
  </si>
  <si>
    <t>Melting_Curves/meltCurve_O75339_CILP.pdf</t>
  </si>
  <si>
    <t>Melting_Curves/meltCurve_O75348_ATP6V1G1.pdf</t>
  </si>
  <si>
    <t>Melting_Curves/meltCurve_O75351_VPS4B.pdf</t>
  </si>
  <si>
    <t>Melting_Curves/meltCurve_O75355_ENTPD3.pdf</t>
  </si>
  <si>
    <t>Melting_Curves/meltCurve_O75368_SH3BGRL.pdf</t>
  </si>
  <si>
    <t>Melting_Curves/meltCurve_O75369_2_FLNB.pdf</t>
  </si>
  <si>
    <t>Melting_Curves/meltCurve_O75396_SEC22B.pdf</t>
  </si>
  <si>
    <t>Melting_Curves/meltCurve_O75493_CA11.pdf</t>
  </si>
  <si>
    <t>Melting_Curves/meltCurve_O75503_CLN5.pdf</t>
  </si>
  <si>
    <t>Melting_Curves/meltCurve_O75629_CREG1.pdf</t>
  </si>
  <si>
    <t>Melting_Curves/meltCurve_O75695_RP2.pdf</t>
  </si>
  <si>
    <t>Melting_Curves/meltCurve_O75818_2_RPP40.pdf</t>
  </si>
  <si>
    <t>Melting_Curves/meltCurve_O75874_IDH1.pdf</t>
  </si>
  <si>
    <t>Melting_Curves/meltCurve_O75882_3_ATRN.pdf</t>
  </si>
  <si>
    <t>Melting_Curves/meltCurve_O75884_RBBP9.pdf</t>
  </si>
  <si>
    <t>Melting_Curves/meltCurve_O75891_ALDH1L1.pdf</t>
  </si>
  <si>
    <t>Melting_Curves/meltCurve_O75976_CPD.pdf</t>
  </si>
  <si>
    <t>Melting_Curves/meltCurve_O76003_GLRX3.pdf</t>
  </si>
  <si>
    <t>Melting_Curves/meltCurve_O76094_2_SRP72.pdf</t>
  </si>
  <si>
    <t>Melting_Curves/meltCurve_O94760_DDAH1.pdf</t>
  </si>
  <si>
    <t>Melting_Curves/meltCurve_O94874_2_UFL1.pdf</t>
  </si>
  <si>
    <t>Melting_Curves/meltCurve_O94903_PROSC.pdf</t>
  </si>
  <si>
    <t>Melting_Curves/meltCurve_O94985_2_CLSTN1.pdf</t>
  </si>
  <si>
    <t>Melting_Curves/meltCurve_O95197_3_RTN3.pdf</t>
  </si>
  <si>
    <t>Melting_Curves/meltCurve_O95274_LYPD3.pdf</t>
  </si>
  <si>
    <t>Melting_Curves/meltCurve_O95292_VAPB.pdf</t>
  </si>
  <si>
    <t>Melting_Curves/meltCurve_O95336_PGLS.pdf</t>
  </si>
  <si>
    <t>Melting_Curves/meltCurve_O95394_PGM3.pdf</t>
  </si>
  <si>
    <t>Melting_Curves/meltCurve_O95436_SLC34A2.pdf</t>
  </si>
  <si>
    <t>Melting_Curves/meltCurve_O95436_2_SLC34A2.pdf</t>
  </si>
  <si>
    <t>Melting_Curves/meltCurve_O95573_ACSL3.pdf</t>
  </si>
  <si>
    <t>Melting_Curves/meltCurve_O95716_RAB3D.pdf</t>
  </si>
  <si>
    <t>Melting_Curves/meltCurve_O95721_SNAP29.pdf</t>
  </si>
  <si>
    <t>Melting_Curves/meltCurve_O95747_OXSR1.pdf</t>
  </si>
  <si>
    <t>Melting_Curves/meltCurve_O95793_3_STAU1.pdf</t>
  </si>
  <si>
    <t>Melting_Curves/meltCurve_O95834_2_EML2.pdf</t>
  </si>
  <si>
    <t>Melting_Curves/meltCurve_O95865_DDAH2.pdf</t>
  </si>
  <si>
    <t>Melting_Curves/meltCurve_O95881_TXNDC12.pdf</t>
  </si>
  <si>
    <t>Melting_Curves/meltCurve_O95965_ITGBL1.pdf</t>
  </si>
  <si>
    <t>Melting_Curves/meltCurve_O95969_SCGB1D2.pdf</t>
  </si>
  <si>
    <t>Melting_Curves/meltCurve_O95980_RECK.pdf</t>
  </si>
  <si>
    <t>Melting_Curves/meltCurve_O96007_MOCS2.pdf</t>
  </si>
  <si>
    <t>Melting_Curves/meltCurve_P00167_2_CYB5A.pdf</t>
  </si>
  <si>
    <t>Melting_Curves/meltCurve_P00338_LDHA.pdf</t>
  </si>
  <si>
    <t>Melting_Curves/meltCurve_P00352_ALDH1A1.pdf</t>
  </si>
  <si>
    <t>Melting_Curves/meltCurve_P00387_3_CYB5R3.pdf</t>
  </si>
  <si>
    <t>Melting_Curves/meltCurve_P00441_SOD1.pdf</t>
  </si>
  <si>
    <t>Melting_Curves/meltCurve_P00450_CP.pdf</t>
  </si>
  <si>
    <t>Melting_Curves/meltCurve_P00491_PNP.pdf</t>
  </si>
  <si>
    <t>Melting_Curves/meltCurve_P00492_HPRT1.pdf</t>
  </si>
  <si>
    <t>Melting_Curves/meltCurve_P00558_PGK1.pdf</t>
  </si>
  <si>
    <t>Melting_Curves/meltCurve_P00709_LALBA.pdf</t>
  </si>
  <si>
    <t>Melting_Curves/meltCurve_P00734_F2.pdf</t>
  </si>
  <si>
    <t>Melting_Curves/meltCurve_P00736_C1R.pdf</t>
  </si>
  <si>
    <t>Melting_Curves/meltCurve_P00738_HP.pdf</t>
  </si>
  <si>
    <t>Melting_Curves/meltCurve_P00739_HPR.pdf</t>
  </si>
  <si>
    <t>Melting_Curves/meltCurve_P00740_F9.pdf</t>
  </si>
  <si>
    <t>Melting_Curves/meltCurve_P00747_PLG.pdf</t>
  </si>
  <si>
    <t>Melting_Curves/meltCurve_P00748_F12.pdf</t>
  </si>
  <si>
    <t>Melting_Curves/meltCurve_P00918_CA2.pdf</t>
  </si>
  <si>
    <t>Melting_Curves/meltCurve_P00966_ASS1.pdf</t>
  </si>
  <si>
    <t>Melting_Curves/meltCurve_P01008_SERPINC1.pdf</t>
  </si>
  <si>
    <t>Melting_Curves/meltCurve_P01009_SERPINA1.pdf</t>
  </si>
  <si>
    <t>Melting_Curves/meltCurve_P01019_AGT.pdf</t>
  </si>
  <si>
    <t>Melting_Curves/meltCurve_P01023_A2M.pdf</t>
  </si>
  <si>
    <t>Melting_Curves/meltCurve_P01024_C3.pdf</t>
  </si>
  <si>
    <t>Melting_Curves/meltCurve_P01031_C5.pdf</t>
  </si>
  <si>
    <t>Melting_Curves/meltCurve_P01034_CST3.pdf</t>
  </si>
  <si>
    <t>Melting_Curves/meltCurve_P01036_CST4.pdf</t>
  </si>
  <si>
    <t>Melting_Curves/meltCurve_P01042_KNG1.pdf</t>
  </si>
  <si>
    <t>Melting_Curves/meltCurve_P01042_2_KNG1.pdf</t>
  </si>
  <si>
    <t>Melting_Curves/meltCurve_P01112_HRAS.pdf</t>
  </si>
  <si>
    <t>Melting_Curves/meltCurve_P01116_2_KRAS.pdf</t>
  </si>
  <si>
    <t>Melting_Curves/meltCurve_P01133_3_EGF.pdf</t>
  </si>
  <si>
    <t>Melting_Curves/meltCurve_P01236_PRL.pdf</t>
  </si>
  <si>
    <t>Melting_Curves/meltCurve_P01591_IGJ.pdf</t>
  </si>
  <si>
    <t>Melting_Curves/meltCurve_P01593_.pdf</t>
  </si>
  <si>
    <t>Melting_Curves/meltCurve_P01594_.pdf</t>
  </si>
  <si>
    <t>Melting_Curves/meltCurve_P01596_.pdf</t>
  </si>
  <si>
    <t>Melting_Curves/meltCurve_P01598_.pdf</t>
  </si>
  <si>
    <t>Melting_Curves/meltCurve_P01601_.pdf</t>
  </si>
  <si>
    <t>Melting_Curves/meltCurve_P01603_.pdf</t>
  </si>
  <si>
    <t>Melting_Curves/meltCurve_P01604_.pdf</t>
  </si>
  <si>
    <t>Melting_Curves/meltCurve_P01605_.pdf</t>
  </si>
  <si>
    <t>Melting_Curves/meltCurve_P01608_.pdf</t>
  </si>
  <si>
    <t>Melting_Curves/meltCurve_P01609_.pdf</t>
  </si>
  <si>
    <t>Melting_Curves/meltCurve_P01610_.pdf</t>
  </si>
  <si>
    <t>Melting_Curves/meltCurve_P01611_.pdf</t>
  </si>
  <si>
    <t>Melting_Curves/meltCurve_P01612_.pdf</t>
  </si>
  <si>
    <t>Melting_Curves/meltCurve_P01613_.pdf</t>
  </si>
  <si>
    <t>Melting_Curves/meltCurve_P01617_.pdf</t>
  </si>
  <si>
    <t>Melting_Curves/meltCurve_P01619_.pdf</t>
  </si>
  <si>
    <t>Melting_Curves/meltCurve_P01620_.pdf</t>
  </si>
  <si>
    <t>Melting_Curves/meltCurve_P01621_.pdf</t>
  </si>
  <si>
    <t>Melting_Curves/meltCurve_P01623_.pdf</t>
  </si>
  <si>
    <t>Melting_Curves/meltCurve_P01624_.pdf</t>
  </si>
  <si>
    <t>Melting_Curves/meltCurve_P01625_.pdf</t>
  </si>
  <si>
    <t>Melting_Curves/meltCurve_P01699_.pdf</t>
  </si>
  <si>
    <t>Melting_Curves/meltCurve_P01700_.pdf</t>
  </si>
  <si>
    <t>Melting_Curves/meltCurve_P01701_.pdf</t>
  </si>
  <si>
    <t>Melting_Curves/meltCurve_P01702_.pdf</t>
  </si>
  <si>
    <t>Melting_Curves/meltCurve_P01703_.pdf</t>
  </si>
  <si>
    <t>Melting_Curves/meltCurve_P01714_.pdf</t>
  </si>
  <si>
    <t>Melting_Curves/meltCurve_P01717_.pdf</t>
  </si>
  <si>
    <t>Melting_Curves/meltCurve_P01742_.pdf</t>
  </si>
  <si>
    <t>Melting_Curves/meltCurve_P01743_.pdf</t>
  </si>
  <si>
    <t>Melting_Curves/meltCurve_P01764_.pdf</t>
  </si>
  <si>
    <t>Melting_Curves/meltCurve_P01765_.pdf</t>
  </si>
  <si>
    <t>Melting_Curves/meltCurve_P01766_.pdf</t>
  </si>
  <si>
    <t>Melting_Curves/meltCurve_P01767_.pdf</t>
  </si>
  <si>
    <t>Melting_Curves/meltCurve_P01771_.pdf</t>
  </si>
  <si>
    <t>Melting_Curves/meltCurve_P01772_.pdf</t>
  </si>
  <si>
    <t>Melting_Curves/meltCurve_P01778_.pdf</t>
  </si>
  <si>
    <t>Melting_Curves/meltCurve_P01779_.pdf</t>
  </si>
  <si>
    <t>Melting_Curves/meltCurve_P01780_.pdf</t>
  </si>
  <si>
    <t>Melting_Curves/meltCurve_P01781_.pdf</t>
  </si>
  <si>
    <t>Melting_Curves/meltCurve_P01824_.pdf</t>
  </si>
  <si>
    <t>Melting_Curves/meltCurve_P01833_PIGR.pdf</t>
  </si>
  <si>
    <t>Melting_Curves/meltCurve_P01834_IGKC.pdf</t>
  </si>
  <si>
    <t>Melting_Curves/meltCurve_P01857_IGHG1.pdf</t>
  </si>
  <si>
    <t>Melting_Curves/meltCurve_P01859_IGHG2.pdf</t>
  </si>
  <si>
    <t>Melting_Curves/meltCurve_P01860_IGHG3.pdf</t>
  </si>
  <si>
    <t>Melting_Curves/meltCurve_P01861_IGHG4.pdf</t>
  </si>
  <si>
    <t>Melting_Curves/meltCurve_P01871_IGHM.pdf</t>
  </si>
  <si>
    <t>Melting_Curves/meltCurve_P01876_IGHA1.pdf</t>
  </si>
  <si>
    <t>Melting_Curves/meltCurve_P01877_IGHA2.pdf</t>
  </si>
  <si>
    <t>Melting_Curves/meltCurve_P01889_HLA_B.pdf</t>
  </si>
  <si>
    <t>Melting_Curves/meltCurve_P01903_HLA_DRA.pdf</t>
  </si>
  <si>
    <t>Melting_Curves/meltCurve_P02462_2_COL4A1.pdf</t>
  </si>
  <si>
    <t>Melting_Curves/meltCurve_P02545_2_LMNA.pdf</t>
  </si>
  <si>
    <t>Melting_Curves/meltCurve_P02647_APOA1.pdf</t>
  </si>
  <si>
    <t>Melting_Curves/meltCurve_P02649_APOE.pdf</t>
  </si>
  <si>
    <t>Melting_Curves/meltCurve_P02652_APOA2.pdf</t>
  </si>
  <si>
    <t>Melting_Curves/meltCurve_P02671_2_FGA.pdf</t>
  </si>
  <si>
    <t>Melting_Curves/meltCurve_P02675_FGB.pdf</t>
  </si>
  <si>
    <t>Melting_Curves/meltCurve_P02743_APCS.pdf</t>
  </si>
  <si>
    <t>Melting_Curves/meltCurve_P02748_C9.pdf</t>
  </si>
  <si>
    <t>Melting_Curves/meltCurve_P02749_APOH.pdf</t>
  </si>
  <si>
    <t>Melting_Curves/meltCurve_P02750_LRG1.pdf</t>
  </si>
  <si>
    <t>Melting_Curves/meltCurve_P02751_5_FN1.pdf</t>
  </si>
  <si>
    <t>Melting_Curves/meltCurve_P02760_AMBP.pdf</t>
  </si>
  <si>
    <t>Melting_Curves/meltCurve_P02763_ORM1.pdf</t>
  </si>
  <si>
    <t>Melting_Curves/meltCurve_P02765_AHSG.pdf</t>
  </si>
  <si>
    <t>Melting_Curves/meltCurve_P02766_TTR.pdf</t>
  </si>
  <si>
    <t>Melting_Curves/meltCurve_P02774_GC.pdf</t>
  </si>
  <si>
    <t>Melting_Curves/meltCurve_P02778_CXCL10.pdf</t>
  </si>
  <si>
    <t>Melting_Curves/meltCurve_P02787_TF.pdf</t>
  </si>
  <si>
    <t>Melting_Curves/meltCurve_P02788_LTF.pdf</t>
  </si>
  <si>
    <t>Melting_Curves/meltCurve_P02790_HPX.pdf</t>
  </si>
  <si>
    <t>Melting_Curves/meltCurve_P02792_FTL.pdf</t>
  </si>
  <si>
    <t>Melting_Curves/meltCurve_P02794_FTH1.pdf</t>
  </si>
  <si>
    <t>Melting_Curves/meltCurve_P02810_PRH1.pdf</t>
  </si>
  <si>
    <t>Melting_Curves/meltCurve_P02814_SMR3B.pdf</t>
  </si>
  <si>
    <t>Melting_Curves/meltCurve_P03950_ANG.pdf</t>
  </si>
  <si>
    <t>Melting_Curves/meltCurve_P04003_C4BPA.pdf</t>
  </si>
  <si>
    <t>Melting_Curves/meltCurve_P04004_VTN.pdf</t>
  </si>
  <si>
    <t>Melting_Curves/meltCurve_P04040_CAT.pdf</t>
  </si>
  <si>
    <t>Melting_Curves/meltCurve_P04066_FUCA1.pdf</t>
  </si>
  <si>
    <t>Melting_Curves/meltCurve_P04080_CSTB.pdf</t>
  </si>
  <si>
    <t>Melting_Curves/meltCurve_P04114_APOB.pdf</t>
  </si>
  <si>
    <t>Melting_Curves/meltCurve_P04196_HRG.pdf</t>
  </si>
  <si>
    <t>Melting_Curves/meltCurve_P04207_.pdf</t>
  </si>
  <si>
    <t>Melting_Curves/meltCurve_P04208_.pdf</t>
  </si>
  <si>
    <t>Melting_Curves/meltCurve_P04209_.pdf</t>
  </si>
  <si>
    <t>Melting_Curves/meltCurve_P04211_.pdf</t>
  </si>
  <si>
    <t>Melting_Curves/meltCurve_P04217_A1BG.pdf</t>
  </si>
  <si>
    <t>Melting_Curves/meltCurve_P04271_S100B.pdf</t>
  </si>
  <si>
    <t>Melting_Curves/meltCurve_P04279_2_SEMG1.pdf</t>
  </si>
  <si>
    <t>Melting_Curves/meltCurve_P04406_GAPDH.pdf</t>
  </si>
  <si>
    <t>Melting_Curves/meltCurve_P04424_3_ASL.pdf</t>
  </si>
  <si>
    <t>Melting_Curves/meltCurve_P04430_.pdf</t>
  </si>
  <si>
    <t>Melting_Curves/meltCurve_P04433_.pdf</t>
  </si>
  <si>
    <t>Melting_Curves/meltCurve_P04438_.pdf</t>
  </si>
  <si>
    <t>Melting_Curves/meltCurve_P04745_AMY1A.pdf</t>
  </si>
  <si>
    <t>Melting_Curves/meltCurve_P04792_HSPB1.pdf</t>
  </si>
  <si>
    <t>Melting_Curves/meltCurve_P05067_7_APP.pdf</t>
  </si>
  <si>
    <t>Melting_Curves/meltCurve_P05109_S100A8.pdf</t>
  </si>
  <si>
    <t>Melting_Curves/meltCurve_P05154_SERPINA5.pdf</t>
  </si>
  <si>
    <t>Melting_Curves/meltCurve_P05160_F13B.pdf</t>
  </si>
  <si>
    <t>Melting_Curves/meltCurve_P05164_2_MPO.pdf</t>
  </si>
  <si>
    <t>Melting_Curves/meltCurve_P05186_2_ALPL.pdf</t>
  </si>
  <si>
    <t>Melting_Curves/meltCurve_P05362_ICAM1.pdf</t>
  </si>
  <si>
    <t>Melting_Curves/meltCurve_P05387_RPLP2.pdf</t>
  </si>
  <si>
    <t>Melting_Curves/meltCurve_P05413_FABP3.pdf</t>
  </si>
  <si>
    <t>Melting_Curves/meltCurve_P05543_SERPINA7.pdf</t>
  </si>
  <si>
    <t>Melting_Curves/meltCurve_P05546_SERPIND1.pdf</t>
  </si>
  <si>
    <t>Melting_Curves/meltCurve_P05814_CSN2.pdf</t>
  </si>
  <si>
    <t>Melting_Curves/meltCurve_P06310_.pdf</t>
  </si>
  <si>
    <t>Melting_Curves/meltCurve_P06311_.pdf</t>
  </si>
  <si>
    <t>Melting_Curves/meltCurve_P06312_IGKV4_1.pdf</t>
  </si>
  <si>
    <t>Melting_Curves/meltCurve_P06318_.pdf</t>
  </si>
  <si>
    <t>Melting_Curves/meltCurve_P06331_.pdf</t>
  </si>
  <si>
    <t>Melting_Curves/meltCurve_P06396_2_GSN.pdf</t>
  </si>
  <si>
    <t>Melting_Curves/meltCurve_P06681_C2.pdf</t>
  </si>
  <si>
    <t>Melting_Curves/meltCurve_P06702_S100A9.pdf</t>
  </si>
  <si>
    <t>Melting_Curves/meltCurve_P06727_APOA4.pdf</t>
  </si>
  <si>
    <t>Melting_Curves/meltCurve_P06733_ENO1.pdf</t>
  </si>
  <si>
    <t>Melting_Curves/meltCurve_P06744_GPI.pdf</t>
  </si>
  <si>
    <t>Melting_Curves/meltCurve_P06858_LPL.pdf</t>
  </si>
  <si>
    <t>Melting_Curves/meltCurve_P07093_2_SERPINE2.pdf</t>
  </si>
  <si>
    <t>Melting_Curves/meltCurve_P07108_DBI.pdf</t>
  </si>
  <si>
    <t>Melting_Curves/meltCurve_P07195_LDHB.pdf</t>
  </si>
  <si>
    <t>Melting_Curves/meltCurve_P07203_GPX1.pdf</t>
  </si>
  <si>
    <t>Melting_Curves/meltCurve_P07237_P4HB.pdf</t>
  </si>
  <si>
    <t>Melting_Curves/meltCurve_P07339_CTSD.pdf</t>
  </si>
  <si>
    <t>Melting_Curves/meltCurve_P07357_C8A.pdf</t>
  </si>
  <si>
    <t>Melting_Curves/meltCurve_P07358_C8B.pdf</t>
  </si>
  <si>
    <t>Melting_Curves/meltCurve_P07360_C8G.pdf</t>
  </si>
  <si>
    <t>Melting_Curves/meltCurve_P07384_CAPN1.pdf</t>
  </si>
  <si>
    <t>Melting_Curves/meltCurve_P07498_CSN3.pdf</t>
  </si>
  <si>
    <t>Melting_Curves/meltCurve_P07686_HEXB.pdf</t>
  </si>
  <si>
    <t>Melting_Curves/meltCurve_P07737_PFN1.pdf</t>
  </si>
  <si>
    <t>Melting_Curves/meltCurve_P07814_EPRS.pdf</t>
  </si>
  <si>
    <t>Melting_Curves/meltCurve_P07858_CTSB.pdf</t>
  </si>
  <si>
    <t>Melting_Curves/meltCurve_P07900_HSP90AA1.pdf</t>
  </si>
  <si>
    <t>Melting_Curves/meltCurve_P07902_GALT.pdf</t>
  </si>
  <si>
    <t>Melting_Curves/meltCurve_P07948_2_LYN.pdf</t>
  </si>
  <si>
    <t>Melting_Curves/meltCurve_P07954_2_FH.pdf</t>
  </si>
  <si>
    <t>Melting_Curves/meltCurve_P07998_RNASE1.pdf</t>
  </si>
  <si>
    <t>Melting_Curves/meltCurve_P08107_HSPA1A.pdf</t>
  </si>
  <si>
    <t>Melting_Curves/meltCurve_P08123_COL1A2.pdf</t>
  </si>
  <si>
    <t>Melting_Curves/meltCurve_P08185_SERPINA6.pdf</t>
  </si>
  <si>
    <t>Melting_Curves/meltCurve_P08238_HSP90AB1.pdf</t>
  </si>
  <si>
    <t>Melting_Curves/meltCurve_P08253_2_MMP2.pdf</t>
  </si>
  <si>
    <t>Melting_Curves/meltCurve_P08294_SOD3.pdf</t>
  </si>
  <si>
    <t>Melting_Curves/meltCurve_P08311_CTSG.pdf</t>
  </si>
  <si>
    <t>Melting_Curves/meltCurve_P08493_MGP.pdf</t>
  </si>
  <si>
    <t>Melting_Curves/meltCurve_P08571_CD14.pdf</t>
  </si>
  <si>
    <t>Melting_Curves/meltCurve_P08572_COL4A2.pdf</t>
  </si>
  <si>
    <t>Melting_Curves/meltCurve_P08582_2_MFI2.pdf</t>
  </si>
  <si>
    <t>Melting_Curves/meltCurve_P08603_CFH.pdf</t>
  </si>
  <si>
    <t>Melting_Curves/meltCurve_P08697_SERPINF2.pdf</t>
  </si>
  <si>
    <t>Melting_Curves/meltCurve_P08754_GNAI3.pdf</t>
  </si>
  <si>
    <t>Melting_Curves/meltCurve_P09237_MMP7.pdf</t>
  </si>
  <si>
    <t>Melting_Curves/meltCurve_P09341_CXCL1.pdf</t>
  </si>
  <si>
    <t>Melting_Curves/meltCurve_P09382_LGALS1.pdf</t>
  </si>
  <si>
    <t>Melting_Curves/meltCurve_P09467_FBP1.pdf</t>
  </si>
  <si>
    <t>Melting_Curves/meltCurve_P09493_4_TPM1.pdf</t>
  </si>
  <si>
    <t>Melting_Curves/meltCurve_P09543_2_CNP.pdf</t>
  </si>
  <si>
    <t>Melting_Curves/meltCurve_P09603_CSF1.pdf</t>
  </si>
  <si>
    <t>Melting_Curves/meltCurve_P09668_CTSH.pdf</t>
  </si>
  <si>
    <t>Melting_Curves/meltCurve_P09758_TACSTD2.pdf</t>
  </si>
  <si>
    <t>Melting_Curves/meltCurve_P09871_C1S.pdf</t>
  </si>
  <si>
    <t>Melting_Curves/meltCurve_P09960_LTA4H.pdf</t>
  </si>
  <si>
    <t>Melting_Curves/meltCurve_P0C091_FREM3.pdf</t>
  </si>
  <si>
    <t>Melting_Curves/meltCurve_P0C0L4_C4A.pdf</t>
  </si>
  <si>
    <t>Melting_Curves/meltCurve_P0C0L5_C4B.pdf</t>
  </si>
  <si>
    <t>Melting_Curves/meltCurve_P0CG05_IGLC2.pdf</t>
  </si>
  <si>
    <t>Melting_Curves/meltCurve_P0DJI8_SAA1.pdf</t>
  </si>
  <si>
    <t>Melting_Curves/meltCurve_P0DJI9_SAA2.pdf</t>
  </si>
  <si>
    <t>Melting_Curves/meltCurve_P10253_GAA.pdf</t>
  </si>
  <si>
    <t>Melting_Curves/meltCurve_P10301_RRAS.pdf</t>
  </si>
  <si>
    <t>Melting_Curves/meltCurve_P10451_2_SPP1.pdf</t>
  </si>
  <si>
    <t>Melting_Curves/meltCurve_P10451_4_SPP1.pdf</t>
  </si>
  <si>
    <t>Melting_Curves/meltCurve_P10451_5_SPP1.pdf</t>
  </si>
  <si>
    <t>Melting_Curves/meltCurve_P10586_2_PTPRF.pdf</t>
  </si>
  <si>
    <t>Melting_Curves/meltCurve_P10599_TXN.pdf</t>
  </si>
  <si>
    <t>Melting_Curves/meltCurve_P10619_CTSA.pdf</t>
  </si>
  <si>
    <t>Melting_Curves/meltCurve_P10643_C7.pdf</t>
  </si>
  <si>
    <t>Melting_Curves/meltCurve_P10644_PRKAR1A.pdf</t>
  </si>
  <si>
    <t>Melting_Curves/meltCurve_P10721_3_KIT.pdf</t>
  </si>
  <si>
    <t>Melting_Curves/meltCurve_P10809_HSPD1.pdf</t>
  </si>
  <si>
    <t>Melting_Curves/meltCurve_P10909_4_CLU.pdf</t>
  </si>
  <si>
    <t>Melting_Curves/meltCurve_P11021_HSPA5.pdf</t>
  </si>
  <si>
    <t>Melting_Curves/meltCurve_P11047_LAMC1.pdf</t>
  </si>
  <si>
    <t>Melting_Curves/meltCurve_P11142_HSPA8.pdf</t>
  </si>
  <si>
    <t>Melting_Curves/meltCurve_P11172_2_UMPS.pdf</t>
  </si>
  <si>
    <t>Melting_Curves/meltCurve_P11216_PYGB.pdf</t>
  </si>
  <si>
    <t>Melting_Curves/meltCurve_P11279_LAMP1.pdf</t>
  </si>
  <si>
    <t>Melting_Curves/meltCurve_P11413_G6PD.pdf</t>
  </si>
  <si>
    <t>Melting_Curves/meltCurve_P11678_EPX.pdf</t>
  </si>
  <si>
    <t>Melting_Curves/meltCurve_P11717_IGF2R.pdf</t>
  </si>
  <si>
    <t>Melting_Curves/meltCurve_P11766_ADH5.pdf</t>
  </si>
  <si>
    <t>Melting_Curves/meltCurve_P11908_PRPS2.pdf</t>
  </si>
  <si>
    <t>Melting_Curves/meltCurve_P11940_2_PABPC1.pdf</t>
  </si>
  <si>
    <t>Melting_Curves/meltCurve_P12109_COL6A1.pdf</t>
  </si>
  <si>
    <t>Melting_Curves/meltCurve_P12259_F5.pdf</t>
  </si>
  <si>
    <t>Melting_Curves/meltCurve_P12273_PIP.pdf</t>
  </si>
  <si>
    <t>Melting_Curves/meltCurve_P12814_2_ACTN1.pdf</t>
  </si>
  <si>
    <t>Melting_Curves/meltCurve_P12821_ACE.pdf</t>
  </si>
  <si>
    <t>Melting_Curves/meltCurve_P13284_IFI30.pdf</t>
  </si>
  <si>
    <t>Melting_Curves/meltCurve_P13489_RNH1.pdf</t>
  </si>
  <si>
    <t>Melting_Curves/meltCurve_P13497_4_BMP1.pdf</t>
  </si>
  <si>
    <t>Melting_Curves/meltCurve_P13639_EEF2.pdf</t>
  </si>
  <si>
    <t>Melting_Curves/meltCurve_P13667_PDIA4.pdf</t>
  </si>
  <si>
    <t>Melting_Curves/meltCurve_P13671_C6.pdf</t>
  </si>
  <si>
    <t>Melting_Curves/meltCurve_P13726_2_F3.pdf</t>
  </si>
  <si>
    <t>Melting_Curves/meltCurve_P13760_HLA_DRB1.pdf</t>
  </si>
  <si>
    <t>Melting_Curves/meltCurve_P13762_HLA_DRB4.pdf</t>
  </si>
  <si>
    <t>Melting_Curves/meltCurve_P13796_LCP1.pdf</t>
  </si>
  <si>
    <t>Melting_Curves/meltCurve_P13866_SLC5A1.pdf</t>
  </si>
  <si>
    <t>Melting_Curves/meltCurve_P14174_MIF.pdf</t>
  </si>
  <si>
    <t>Melting_Curves/meltCurve_P14324_2_FDPS.pdf</t>
  </si>
  <si>
    <t>Melting_Curves/meltCurve_P14543_2_NID1.pdf</t>
  </si>
  <si>
    <t>Melting_Curves/meltCurve_P14550_AKR1A1.pdf</t>
  </si>
  <si>
    <t>Melting_Curves/meltCurve_P14618_PKM.pdf</t>
  </si>
  <si>
    <t>Melting_Curves/meltCurve_P14621_ACYP2.pdf</t>
  </si>
  <si>
    <t>Melting_Curves/meltCurve_P14625_HSP90B1.pdf</t>
  </si>
  <si>
    <t>Melting_Curves/meltCurve_P14735_IDE.pdf</t>
  </si>
  <si>
    <t>Melting_Curves/meltCurve_P14923_JUP.pdf</t>
  </si>
  <si>
    <t>Melting_Curves/meltCurve_P15086_CPB1.pdf</t>
  </si>
  <si>
    <t>Melting_Curves/meltCurve_P15090_FABP4.pdf</t>
  </si>
  <si>
    <t>Melting_Curves/meltCurve_P15104_GLUL.pdf</t>
  </si>
  <si>
    <t>Melting_Curves/meltCurve_P15144_ANPEP.pdf</t>
  </si>
  <si>
    <t>Melting_Curves/meltCurve_P15151_3_PVR.pdf</t>
  </si>
  <si>
    <t>Melting_Curves/meltCurve_P15169_CPN1.pdf</t>
  </si>
  <si>
    <t>Melting_Curves/meltCurve_P15170_2_GSPT1.pdf</t>
  </si>
  <si>
    <t>Melting_Curves/meltCurve_P15289_ARSA.pdf</t>
  </si>
  <si>
    <t>Melting_Curves/meltCurve_P15291_2_B4GALT1.pdf</t>
  </si>
  <si>
    <t>Melting_Curves/meltCurve_P15311_EZR.pdf</t>
  </si>
  <si>
    <t>Melting_Curves/meltCurve_P15328_FOLR1.pdf</t>
  </si>
  <si>
    <t>Melting_Curves/meltCurve_P15374_UCHL3.pdf</t>
  </si>
  <si>
    <t>Melting_Curves/meltCurve_P15509_3_CSF2RA.pdf</t>
  </si>
  <si>
    <t>Melting_Curves/meltCurve_P15529_16_CD46.pdf</t>
  </si>
  <si>
    <t>Melting_Curves/meltCurve_P15814_IGLL1.pdf</t>
  </si>
  <si>
    <t>Melting_Curves/meltCurve_P15924_2_DSP.pdf</t>
  </si>
  <si>
    <t>Melting_Curves/meltCurve_P15941_13_MUC1.pdf</t>
  </si>
  <si>
    <t>Melting_Curves/meltCurve_P16035_TIMP2.pdf</t>
  </si>
  <si>
    <t>Melting_Curves/meltCurve_P16152_CBR1.pdf</t>
  </si>
  <si>
    <t>Melting_Curves/meltCurve_P16278_3_GLB1.pdf</t>
  </si>
  <si>
    <t>Melting_Curves/meltCurve_P16284_3_PECAM1.pdf</t>
  </si>
  <si>
    <t>Melting_Curves/meltCurve_P16401_HIST1H1B.pdf</t>
  </si>
  <si>
    <t>Melting_Curves/meltCurve_P16403_HIST1H1C.pdf</t>
  </si>
  <si>
    <t>Melting_Curves/meltCurve_P16444_DPEP1.pdf</t>
  </si>
  <si>
    <t>Melting_Curves/meltCurve_P16989_2_YBX3.pdf</t>
  </si>
  <si>
    <t>Melting_Curves/meltCurve_P17050_NAGA.pdf</t>
  </si>
  <si>
    <t>Melting_Curves/meltCurve_P17066_HSPA6.pdf</t>
  </si>
  <si>
    <t>Melting_Curves/meltCurve_P17174_GOT1.pdf</t>
  </si>
  <si>
    <t>Melting_Curves/meltCurve_P17655_CAPN2.pdf</t>
  </si>
  <si>
    <t>Melting_Curves/meltCurve_P17813_2_ENG.pdf</t>
  </si>
  <si>
    <t>Melting_Curves/meltCurve_P17858_PFKL.pdf</t>
  </si>
  <si>
    <t>Melting_Curves/meltCurve_P17900_GM2A.pdf</t>
  </si>
  <si>
    <t>Melting_Curves/meltCurve_P17931_LGALS3.pdf</t>
  </si>
  <si>
    <t>Melting_Curves/meltCurve_P17936_IGFBP3.pdf</t>
  </si>
  <si>
    <t>Melting_Curves/meltCurve_P17987_TCP1.pdf</t>
  </si>
  <si>
    <t>Melting_Curves/meltCurve_P18065_IGFBP2.pdf</t>
  </si>
  <si>
    <t>Melting_Curves/meltCurve_P18085_ARF4.pdf</t>
  </si>
  <si>
    <t>Melting_Curves/meltCurve_P18135_.pdf</t>
  </si>
  <si>
    <t>Melting_Curves/meltCurve_P18206_2_VCL.pdf</t>
  </si>
  <si>
    <t>Melting_Curves/meltCurve_P18428_LBP.pdf</t>
  </si>
  <si>
    <t>Melting_Curves/meltCurve_P18510_IL1RN.pdf</t>
  </si>
  <si>
    <t>Melting_Curves/meltCurve_P18669_PGAM1.pdf</t>
  </si>
  <si>
    <t>Melting_Curves/meltCurve_P18827_SDC1.pdf</t>
  </si>
  <si>
    <t>Melting_Curves/meltCurve_P18850_ATF6.pdf</t>
  </si>
  <si>
    <t>Melting_Curves/meltCurve_P19021_2_PAM.pdf</t>
  </si>
  <si>
    <t>Melting_Curves/meltCurve_P19320_VCAM1.pdf</t>
  </si>
  <si>
    <t>Melting_Curves/meltCurve_P19440_GGT1.pdf</t>
  </si>
  <si>
    <t>Melting_Curves/meltCurve_P19623_SRM.pdf</t>
  </si>
  <si>
    <t>Melting_Curves/meltCurve_P19652_ORM2.pdf</t>
  </si>
  <si>
    <t>Melting_Curves/meltCurve_P19827_ITIH1.pdf</t>
  </si>
  <si>
    <t>Melting_Curves/meltCurve_P19835_CEL.pdf</t>
  </si>
  <si>
    <t>Melting_Curves/meltCurve_P19875_CXCL2.pdf</t>
  </si>
  <si>
    <t>Melting_Curves/meltCurve_P20039_HLA_DRB1.pdf</t>
  </si>
  <si>
    <t>Melting_Curves/meltCurve_P20061_TCN1.pdf</t>
  </si>
  <si>
    <t>Melting_Curves/meltCurve_P20336_RAB3A.pdf</t>
  </si>
  <si>
    <t>Melting_Curves/meltCurve_P20618_PSMB1.pdf</t>
  </si>
  <si>
    <t>Melting_Curves/meltCurve_P20742_PZP.pdf</t>
  </si>
  <si>
    <t>Melting_Curves/meltCurve_P20774_OGN.pdf</t>
  </si>
  <si>
    <t>Melting_Curves/meltCurve_P20827_EFNA1.pdf</t>
  </si>
  <si>
    <t>Melting_Curves/meltCurve_P20851_2_C4BPB.pdf</t>
  </si>
  <si>
    <t>Melting_Curves/meltCurve_P20933_AGA.pdf</t>
  </si>
  <si>
    <t>Melting_Curves/meltCurve_P21281_ATP6V1B2.pdf</t>
  </si>
  <si>
    <t>Melting_Curves/meltCurve_P21399_ACO1.pdf</t>
  </si>
  <si>
    <t>Melting_Curves/meltCurve_P21695_2_GPD1.pdf</t>
  </si>
  <si>
    <t>Melting_Curves/meltCurve_P21964_2_COMT.pdf</t>
  </si>
  <si>
    <t>Melting_Curves/meltCurve_P22059_OSBP.pdf</t>
  </si>
  <si>
    <t>Melting_Curves/meltCurve_P22079_LPO.pdf</t>
  </si>
  <si>
    <t>Melting_Curves/meltCurve_P22102_GART.pdf</t>
  </si>
  <si>
    <t>Melting_Curves/meltCurve_P22223_2_CDH3.pdf</t>
  </si>
  <si>
    <t>Melting_Curves/meltCurve_P22304_IDS.pdf</t>
  </si>
  <si>
    <t>Melting_Curves/meltCurve_P22307_4_SCP2.pdf</t>
  </si>
  <si>
    <t>Melting_Curves/meltCurve_P22314_UBA1.pdf</t>
  </si>
  <si>
    <t>Melting_Curves/meltCurve_P22352_GPX3.pdf</t>
  </si>
  <si>
    <t>Melting_Curves/meltCurve_P22626_2_HNRNPA2B1.pdf</t>
  </si>
  <si>
    <t>Melting_Curves/meltCurve_P22674_CCNO.pdf</t>
  </si>
  <si>
    <t>Melting_Curves/meltCurve_P22676_CALB2.pdf</t>
  </si>
  <si>
    <t>Melting_Curves/meltCurve_P22792_CPN2.pdf</t>
  </si>
  <si>
    <t>Melting_Curves/meltCurve_P22897_MRC1.pdf</t>
  </si>
  <si>
    <t>Melting_Curves/meltCurve_P23083_.pdf</t>
  </si>
  <si>
    <t>Melting_Curves/meltCurve_P23280_CA6.pdf</t>
  </si>
  <si>
    <t>Melting_Curves/meltCurve_P23280_2_CA6.pdf</t>
  </si>
  <si>
    <t>Melting_Curves/meltCurve_P23284_PPIB.pdf</t>
  </si>
  <si>
    <t>Melting_Curves/meltCurve_P23297_S100A1.pdf</t>
  </si>
  <si>
    <t>Melting_Curves/meltCurve_P23381_WARS.pdf</t>
  </si>
  <si>
    <t>Melting_Curves/meltCurve_P23396_RPS3.pdf</t>
  </si>
  <si>
    <t>Melting_Curves/meltCurve_P23526_AHCY.pdf</t>
  </si>
  <si>
    <t>Melting_Curves/meltCurve_P23786_CPT2.pdf</t>
  </si>
  <si>
    <t>Melting_Curves/meltCurve_P24043_LAMA2.pdf</t>
  </si>
  <si>
    <t>Melting_Curves/meltCurve_P24158_PRTN3.pdf</t>
  </si>
  <si>
    <t>Melting_Curves/meltCurve_P24298_GPT.pdf</t>
  </si>
  <si>
    <t>Melting_Curves/meltCurve_P24534_EEF1B2.pdf</t>
  </si>
  <si>
    <t>Melting_Curves/meltCurve_P24593_IGFBP5.pdf</t>
  </si>
  <si>
    <t>Melting_Curves/meltCurve_P24821_TNC.pdf</t>
  </si>
  <si>
    <t>Melting_Curves/meltCurve_P25311_AZGP1.pdf</t>
  </si>
  <si>
    <t>Melting_Curves/meltCurve_P25325_MPST.pdf</t>
  </si>
  <si>
    <t>Melting_Curves/meltCurve_P25398_RPS12.pdf</t>
  </si>
  <si>
    <t>Melting_Curves/meltCurve_P25445_6_FAS.pdf</t>
  </si>
  <si>
    <t>Melting_Curves/meltCurve_P25686_DNAJB2.pdf</t>
  </si>
  <si>
    <t>Melting_Curves/meltCurve_P25774_CTSS.pdf</t>
  </si>
  <si>
    <t>Melting_Curves/meltCurve_P25786_PSMA1.pdf</t>
  </si>
  <si>
    <t>Melting_Curves/meltCurve_P25787_PSMA2.pdf</t>
  </si>
  <si>
    <t>Melting_Curves/meltCurve_P25788_2_PSMA3.pdf</t>
  </si>
  <si>
    <t>Melting_Curves/meltCurve_P25815_S100P.pdf</t>
  </si>
  <si>
    <t>Melting_Curves/meltCurve_P25940_COL5A3.pdf</t>
  </si>
  <si>
    <t>Melting_Curves/meltCurve_P26038_MSN.pdf</t>
  </si>
  <si>
    <t>Melting_Curves/meltCurve_P26447_S100A4.pdf</t>
  </si>
  <si>
    <t>Melting_Curves/meltCurve_P26572_MGAT1.pdf</t>
  </si>
  <si>
    <t>Melting_Curves/meltCurve_P26639_TARS.pdf</t>
  </si>
  <si>
    <t>Melting_Curves/meltCurve_P26641_EEF1G.pdf</t>
  </si>
  <si>
    <t>Melting_Curves/meltCurve_P26885_FKBP2.pdf</t>
  </si>
  <si>
    <t>Melting_Curves/meltCurve_P26992_CNTFR.pdf</t>
  </si>
  <si>
    <t>Melting_Curves/meltCurve_P27169_PON1.pdf</t>
  </si>
  <si>
    <t>Melting_Curves/meltCurve_P27348_YWHAQ.pdf</t>
  </si>
  <si>
    <t>Melting_Curves/meltCurve_P27469_G0S2.pdf</t>
  </si>
  <si>
    <t>Melting_Curves/meltCurve_P27482_CALML3.pdf</t>
  </si>
  <si>
    <t>Melting_Curves/meltCurve_P27797_CALR.pdf</t>
  </si>
  <si>
    <t>Melting_Curves/meltCurve_P27824_CANX.pdf</t>
  </si>
  <si>
    <t>Melting_Curves/meltCurve_P28062_2_PSMB8.pdf</t>
  </si>
  <si>
    <t>Melting_Curves/meltCurve_P28066_PSMA5.pdf</t>
  </si>
  <si>
    <t>Melting_Curves/meltCurve_P28070_PSMB4.pdf</t>
  </si>
  <si>
    <t>Melting_Curves/meltCurve_P28072_PSMB6.pdf</t>
  </si>
  <si>
    <t>Melting_Curves/meltCurve_P28074_PSMB5.pdf</t>
  </si>
  <si>
    <t>Melting_Curves/meltCurve_P28799_GRN.pdf</t>
  </si>
  <si>
    <t>Melting_Curves/meltCurve_P28838_2_LAP3.pdf</t>
  </si>
  <si>
    <t>Melting_Curves/meltCurve_P29218_IMPA1.pdf</t>
  </si>
  <si>
    <t>Melting_Curves/meltCurve_P29373_CRABP2.pdf</t>
  </si>
  <si>
    <t>Melting_Curves/meltCurve_P29401_TKT.pdf</t>
  </si>
  <si>
    <t>Melting_Curves/meltCurve_P29622_SERPINA4.pdf</t>
  </si>
  <si>
    <t>Melting_Curves/meltCurve_P29762_CRABP1.pdf</t>
  </si>
  <si>
    <t>Melting_Curves/meltCurve_P29966_MARCKS.pdf</t>
  </si>
  <si>
    <t>Melting_Curves/meltCurve_P30040_ERP29.pdf</t>
  </si>
  <si>
    <t>Melting_Curves/meltCurve_P30041_PRDX6.pdf</t>
  </si>
  <si>
    <t>Melting_Curves/meltCurve_P30043_BLVRB.pdf</t>
  </si>
  <si>
    <t>Melting_Curves/meltCurve_P30044_PRDX5.pdf</t>
  </si>
  <si>
    <t>Melting_Curves/meltCurve_P30050_RPL12.pdf</t>
  </si>
  <si>
    <t>Melting_Curves/meltCurve_P30086_PEBP1.pdf</t>
  </si>
  <si>
    <t>Melting_Curves/meltCurve_P30419_2_NMT1.pdf</t>
  </si>
  <si>
    <t>Melting_Curves/meltCurve_P30455_HLA_A.pdf</t>
  </si>
  <si>
    <t>Melting_Curves/meltCurve_P30520_ADSS.pdf</t>
  </si>
  <si>
    <t>Melting_Curves/meltCurve_P30533_LRPAP1.pdf</t>
  </si>
  <si>
    <t>Melting_Curves/meltCurve_P30740_SERPINB1.pdf</t>
  </si>
  <si>
    <t>Melting_Curves/meltCurve_P31146_CORO1A.pdf</t>
  </si>
  <si>
    <t>Melting_Curves/meltCurve_P31150_GDI1.pdf</t>
  </si>
  <si>
    <t>Melting_Curves/meltCurve_P31323_PRKAR2B.pdf</t>
  </si>
  <si>
    <t>Melting_Curves/meltCurve_P31431_2_SDC4.pdf</t>
  </si>
  <si>
    <t>Melting_Curves/meltCurve_P31937_HIBADH.pdf</t>
  </si>
  <si>
    <t>Melting_Curves/meltCurve_P31944_CASP14.pdf</t>
  </si>
  <si>
    <t>Melting_Curves/meltCurve_P31946_2_YWHAB.pdf</t>
  </si>
  <si>
    <t>Melting_Curves/meltCurve_P31947_2_SFN.pdf</t>
  </si>
  <si>
    <t>Melting_Curves/meltCurve_P31948_STIP1.pdf</t>
  </si>
  <si>
    <t>Melting_Curves/meltCurve_P31949_S100A11.pdf</t>
  </si>
  <si>
    <t>Melting_Curves/meltCurve_P32119_PRDX2.pdf</t>
  </si>
  <si>
    <t>Melting_Curves/meltCurve_P32455_GBP1.pdf</t>
  </si>
  <si>
    <t>Melting_Curves/meltCurve_P32929_3_CTH.pdf</t>
  </si>
  <si>
    <t>Melting_Curves/meltCurve_P33121_2_ACSL1.pdf</t>
  </si>
  <si>
    <t>Melting_Curves/meltCurve_P33176_KIF5B.pdf</t>
  </si>
  <si>
    <t>Melting_Curves/meltCurve_P33908_MAN1A1.pdf</t>
  </si>
  <si>
    <t>Melting_Curves/meltCurve_P34096_RNASE4.pdf</t>
  </si>
  <si>
    <t>Melting_Curves/meltCurve_P34896_2_SHMT1.pdf</t>
  </si>
  <si>
    <t>Melting_Curves/meltCurve_P34932_HSPA4.pdf</t>
  </si>
  <si>
    <t>Melting_Curves/meltCurve_P35237_SERPINB6.pdf</t>
  </si>
  <si>
    <t>Melting_Curves/meltCurve_P35241_RDX.pdf</t>
  </si>
  <si>
    <t>Melting_Curves/meltCurve_P35270_SPR.pdf</t>
  </si>
  <si>
    <t>Melting_Curves/meltCurve_P35542_SAA4.pdf</t>
  </si>
  <si>
    <t>Melting_Curves/meltCurve_P35579_MYH9.pdf</t>
  </si>
  <si>
    <t>Melting_Curves/meltCurve_P35590_TIE1.pdf</t>
  </si>
  <si>
    <t>Melting_Curves/meltCurve_P35613_3_BSG.pdf</t>
  </si>
  <si>
    <t>Melting_Curves/meltCurve_P35754_GLRX.pdf</t>
  </si>
  <si>
    <t>Melting_Curves/meltCurve_P35813_PPM1A.pdf</t>
  </si>
  <si>
    <t>Melting_Curves/meltCurve_P35858_IGFALS.pdf</t>
  </si>
  <si>
    <t>Melting_Curves/meltCurve_P35998_PSMC2.pdf</t>
  </si>
  <si>
    <t>Melting_Curves/meltCurve_P36222_CHI3L1.pdf</t>
  </si>
  <si>
    <t>Melting_Curves/meltCurve_P36578_RPL4.pdf</t>
  </si>
  <si>
    <t>Melting_Curves/meltCurve_P36871_PGM1.pdf</t>
  </si>
  <si>
    <t>Melting_Curves/meltCurve_P36955_SERPINF1.pdf</t>
  </si>
  <si>
    <t>Melting_Curves/meltCurve_P36980_2_CFHR2.pdf</t>
  </si>
  <si>
    <t>Melting_Curves/meltCurve_P37802_TAGLN2.pdf</t>
  </si>
  <si>
    <t>Melting_Curves/meltCurve_P38646_HSPA9.pdf</t>
  </si>
  <si>
    <t>Melting_Curves/meltCurve_P40121_2_CAPG.pdf</t>
  </si>
  <si>
    <t>Melting_Curves/meltCurve_P40189_3_IL6ST.pdf</t>
  </si>
  <si>
    <t>Melting_Curves/meltCurve_P40227_2_CCT6A.pdf</t>
  </si>
  <si>
    <t>Melting_Curves/meltCurve_P40306_PSMB10.pdf</t>
  </si>
  <si>
    <t>Melting_Curves/meltCurve_P40617_ARL4A.pdf</t>
  </si>
  <si>
    <t>Melting_Curves/meltCurve_P40925_MDH1.pdf</t>
  </si>
  <si>
    <t>Melting_Curves/meltCurve_P41091_EIF2S3.pdf</t>
  </si>
  <si>
    <t>Melting_Curves/meltCurve_P41236_PPP1R2.pdf</t>
  </si>
  <si>
    <t>Melting_Curves/meltCurve_P41250_GARS.pdf</t>
  </si>
  <si>
    <t>Melting_Curves/meltCurve_P42025_ACTR1B.pdf</t>
  </si>
  <si>
    <t>Melting_Curves/meltCurve_P42330_AKR1C3.pdf</t>
  </si>
  <si>
    <t>Melting_Curves/meltCurve_P42574_CASP3.pdf</t>
  </si>
  <si>
    <t>Melting_Curves/meltCurve_P42785_PRCP.pdf</t>
  </si>
  <si>
    <t>Melting_Curves/meltCurve_P43034_PAFAH1B1.pdf</t>
  </si>
  <si>
    <t>Melting_Curves/meltCurve_P43121_MCAM.pdf</t>
  </si>
  <si>
    <t>Melting_Curves/meltCurve_P43490_NAMPT.pdf</t>
  </si>
  <si>
    <t>Melting_Curves/meltCurve_P43652_AFM.pdf</t>
  </si>
  <si>
    <t>Melting_Curves/meltCurve_P43686_PSMC4.pdf</t>
  </si>
  <si>
    <t>Melting_Curves/meltCurve_P45381_ASPA.pdf</t>
  </si>
  <si>
    <t>Melting_Curves/meltCurve_P45877_PPIC.pdf</t>
  </si>
  <si>
    <t>Melting_Curves/meltCurve_P45974_2_USP5.pdf</t>
  </si>
  <si>
    <t>Melting_Curves/meltCurve_P46108_2_CRK.pdf</t>
  </si>
  <si>
    <t>Melting_Curves/meltCurve_P46781_RPS9.pdf</t>
  </si>
  <si>
    <t>Melting_Curves/meltCurve_P46783_RPS10.pdf</t>
  </si>
  <si>
    <t>Melting_Curves/meltCurve_P46940_IQGAP1.pdf</t>
  </si>
  <si>
    <t>Melting_Curves/meltCurve_P47710_2_CSN1S1.pdf</t>
  </si>
  <si>
    <t>Melting_Curves/meltCurve_P47710_3_CSN1S1.pdf</t>
  </si>
  <si>
    <t>Melting_Curves/meltCurve_P47755_CAPZA2.pdf</t>
  </si>
  <si>
    <t>Melting_Curves/meltCurve_P47895_ALDH1A3.pdf</t>
  </si>
  <si>
    <t>Melting_Curves/meltCurve_P47914_RPL29.pdf</t>
  </si>
  <si>
    <t>Melting_Curves/meltCurve_P47989_XDH.pdf</t>
  </si>
  <si>
    <t>Melting_Curves/meltCurve_P48163_ME1.pdf</t>
  </si>
  <si>
    <t>Melting_Curves/meltCurve_P48449_2_LSS.pdf</t>
  </si>
  <si>
    <t>Melting_Curves/meltCurve_P48506_GCLC.pdf</t>
  </si>
  <si>
    <t>Melting_Curves/meltCurve_P48637_GSS.pdf</t>
  </si>
  <si>
    <t>Melting_Curves/meltCurve_P48723_HSPA13.pdf</t>
  </si>
  <si>
    <t>Melting_Curves/meltCurve_P48739_PITPNB.pdf</t>
  </si>
  <si>
    <t>Melting_Curves/meltCurve_P48740_MASP1.pdf</t>
  </si>
  <si>
    <t>Melting_Curves/meltCurve_P49006_MARCKSL1.pdf</t>
  </si>
  <si>
    <t>Melting_Curves/meltCurve_P49189_ALDH9A1.pdf</t>
  </si>
  <si>
    <t>Melting_Curves/meltCurve_P49257_LMAN1.pdf</t>
  </si>
  <si>
    <t>Melting_Curves/meltCurve_P49281_3_SLC11A2.pdf</t>
  </si>
  <si>
    <t>Melting_Curves/meltCurve_P49327_FASN.pdf</t>
  </si>
  <si>
    <t>Melting_Curves/meltCurve_P49407_2_ARRB1.pdf</t>
  </si>
  <si>
    <t>Melting_Curves/meltCurve_P49419_2_ALDH7A1.pdf</t>
  </si>
  <si>
    <t>Melting_Curves/meltCurve_P49458_SRP9.pdf</t>
  </si>
  <si>
    <t>Melting_Curves/meltCurve_P49588_AARS.pdf</t>
  </si>
  <si>
    <t>Melting_Curves/meltCurve_P49720_PSMB3.pdf</t>
  </si>
  <si>
    <t>Melting_Curves/meltCurve_P49721_PSMB2.pdf</t>
  </si>
  <si>
    <t>Melting_Curves/meltCurve_P49746_THBS3.pdf</t>
  </si>
  <si>
    <t>Melting_Curves/meltCurve_P49755_TMED10.pdf</t>
  </si>
  <si>
    <t>Melting_Curves/meltCurve_P49773_HINT1.pdf</t>
  </si>
  <si>
    <t>Melting_Curves/meltCurve_P49788_2_RARRES1.pdf</t>
  </si>
  <si>
    <t>Melting_Curves/meltCurve_P49789_FHIT.pdf</t>
  </si>
  <si>
    <t>Melting_Curves/meltCurve_P50135_HNMT.pdf</t>
  </si>
  <si>
    <t>Melting_Curves/meltCurve_P50148_GNAQ.pdf</t>
  </si>
  <si>
    <t>Melting_Curves/meltCurve_P50502_ST13.pdf</t>
  </si>
  <si>
    <t>Melting_Curves/meltCurve_P50591_TNFSF10.pdf</t>
  </si>
  <si>
    <t>Melting_Curves/meltCurve_P50749_RASSF2.pdf</t>
  </si>
  <si>
    <t>Melting_Curves/meltCurve_P50897_PPT1.pdf</t>
  </si>
  <si>
    <t>Melting_Curves/meltCurve_P51148_RAB5C.pdf</t>
  </si>
  <si>
    <t>Melting_Curves/meltCurve_P51149_RAB7A.pdf</t>
  </si>
  <si>
    <t>Melting_Curves/meltCurve_P51151_RAB9A.pdf</t>
  </si>
  <si>
    <t>Melting_Curves/meltCurve_P51153_RAB13.pdf</t>
  </si>
  <si>
    <t>Melting_Curves/meltCurve_P51511_MMP15.pdf</t>
  </si>
  <si>
    <t>Melting_Curves/meltCurve_P51580_TPMT.pdf</t>
  </si>
  <si>
    <t>Melting_Curves/meltCurve_P51688_SGSH.pdf</t>
  </si>
  <si>
    <t>Melting_Curves/meltCurve_P51884_LUM.pdf</t>
  </si>
  <si>
    <t>Melting_Curves/meltCurve_P51993_FUT6.pdf</t>
  </si>
  <si>
    <t>Melting_Curves/meltCurve_P52306_4_RAP1GDS1.pdf</t>
  </si>
  <si>
    <t>Melting_Curves/meltCurve_P52758_HRSP12.pdf</t>
  </si>
  <si>
    <t>Melting_Curves/meltCurve_P52907_CAPZA1.pdf</t>
  </si>
  <si>
    <t>Melting_Curves/meltCurve_P53367_ARFIP1.pdf</t>
  </si>
  <si>
    <t>Melting_Curves/meltCurve_P53396_ACLY.pdf</t>
  </si>
  <si>
    <t>Melting_Curves/meltCurve_P53602_MVD.pdf</t>
  </si>
  <si>
    <t>Melting_Curves/meltCurve_P53634_CTSC.pdf</t>
  </si>
  <si>
    <t>Melting_Curves/meltCurve_P53990_2_IST1.pdf</t>
  </si>
  <si>
    <t>Melting_Curves/meltCurve_P54136_2_RARS.pdf</t>
  </si>
  <si>
    <t>Melting_Curves/meltCurve_P54289_CACNA2D1.pdf</t>
  </si>
  <si>
    <t>Melting_Curves/meltCurve_P54577_YARS.pdf</t>
  </si>
  <si>
    <t>Melting_Curves/meltCurve_P54727_RAD23B.pdf</t>
  </si>
  <si>
    <t>Melting_Curves/meltCurve_P54802_NAGLU.pdf</t>
  </si>
  <si>
    <t>Melting_Curves/meltCurve_P55001_3_MFAP2.pdf</t>
  </si>
  <si>
    <t>Melting_Curves/meltCurve_P55072_VCP.pdf</t>
  </si>
  <si>
    <t>Melting_Curves/meltCurve_P55145_MANF.pdf</t>
  </si>
  <si>
    <t>Melting_Curves/meltCurve_P55210_4_CASP7.pdf</t>
  </si>
  <si>
    <t>Melting_Curves/meltCurve_P55212_CASP6.pdf</t>
  </si>
  <si>
    <t>Melting_Curves/meltCurve_P55268_LAMB2.pdf</t>
  </si>
  <si>
    <t>Melting_Curves/meltCurve_P55290_3_CDH13.pdf</t>
  </si>
  <si>
    <t>Melting_Curves/meltCurve_P55884_EIF3B.pdf</t>
  </si>
  <si>
    <t>Melting_Curves/meltCurve_P55957_BID.pdf</t>
  </si>
  <si>
    <t>Melting_Curves/meltCurve_P56537_EIF6.pdf</t>
  </si>
  <si>
    <t>Melting_Curves/meltCurve_P57735_RAB25.pdf</t>
  </si>
  <si>
    <t>Melting_Curves/meltCurve_P58107_EPPK1.pdf</t>
  </si>
  <si>
    <t>Melting_Curves/meltCurve_P58546_MTPN.pdf</t>
  </si>
  <si>
    <t>Melting_Curves/meltCurve_P60022_DEFB1.pdf</t>
  </si>
  <si>
    <t>Melting_Curves/meltCurve_P60174_1_TPI1.pdf</t>
  </si>
  <si>
    <t>Melting_Curves/meltCurve_P60842_EIF4A1.pdf</t>
  </si>
  <si>
    <t>Melting_Curves/meltCurve_P60866_RPS20.pdf</t>
  </si>
  <si>
    <t>Melting_Curves/meltCurve_P60953_CDC42.pdf</t>
  </si>
  <si>
    <t>Melting_Curves/meltCurve_P60981_DSTN.pdf</t>
  </si>
  <si>
    <t>Melting_Curves/meltCurve_P61006_RAB8A.pdf</t>
  </si>
  <si>
    <t>Melting_Curves/meltCurve_P61009_SPCS3.pdf</t>
  </si>
  <si>
    <t>Melting_Curves/meltCurve_P61011_2_SRP54.pdf</t>
  </si>
  <si>
    <t>Melting_Curves/meltCurve_P61019_RAB2A.pdf</t>
  </si>
  <si>
    <t>Melting_Curves/meltCurve_P61020_RAB5B.pdf</t>
  </si>
  <si>
    <t>Melting_Curves/meltCurve_P61026_RAB10.pdf</t>
  </si>
  <si>
    <t>Melting_Curves/meltCurve_P61077_UBE2D3.pdf</t>
  </si>
  <si>
    <t>Melting_Curves/meltCurve_P61081_UBE2M.pdf</t>
  </si>
  <si>
    <t>Melting_Curves/meltCurve_P61088_UBE2N.pdf</t>
  </si>
  <si>
    <t>Melting_Curves/meltCurve_P61106_RAB14.pdf</t>
  </si>
  <si>
    <t>Melting_Curves/meltCurve_P61158_ACTR3.pdf</t>
  </si>
  <si>
    <t>Melting_Curves/meltCurve_P61160_ACTR2.pdf</t>
  </si>
  <si>
    <t>Melting_Curves/meltCurve_P61224_RAP1B.pdf</t>
  </si>
  <si>
    <t>Melting_Curves/meltCurve_P61225_RAP2B.pdf</t>
  </si>
  <si>
    <t>Melting_Curves/meltCurve_P61353_RPL27.pdf</t>
  </si>
  <si>
    <t>Melting_Curves/meltCurve_P61457_PCBD1.pdf</t>
  </si>
  <si>
    <t>Melting_Curves/meltCurve_P61586_RHOA.pdf</t>
  </si>
  <si>
    <t>Melting_Curves/meltCurve_P61604_HSPE1.pdf</t>
  </si>
  <si>
    <t>Melting_Curves/meltCurve_P61626_LYZ.pdf</t>
  </si>
  <si>
    <t>Melting_Curves/meltCurve_P61764_STXBP1.pdf</t>
  </si>
  <si>
    <t>Melting_Curves/meltCurve_P61812_TGFB2.pdf</t>
  </si>
  <si>
    <t>Melting_Curves/meltCurve_P61981_YWHAG.pdf</t>
  </si>
  <si>
    <t>Melting_Curves/meltCurve_P62070_RRAS2.pdf</t>
  </si>
  <si>
    <t>Melting_Curves/meltCurve_P62140_PPP1CB.pdf</t>
  </si>
  <si>
    <t>Melting_Curves/meltCurve_P62191_PSMC1.pdf</t>
  </si>
  <si>
    <t>Melting_Curves/meltCurve_P62195_2_PSMC5.pdf</t>
  </si>
  <si>
    <t>Melting_Curves/meltCurve_P62258_YWHAE.pdf</t>
  </si>
  <si>
    <t>Melting_Curves/meltCurve_P62263_RPS14.pdf</t>
  </si>
  <si>
    <t>Melting_Curves/meltCurve_P62328_TMSB4X.pdf</t>
  </si>
  <si>
    <t>Melting_Curves/meltCurve_P62330_ARF6.pdf</t>
  </si>
  <si>
    <t>Melting_Curves/meltCurve_P62333_PSMC6.pdf</t>
  </si>
  <si>
    <t>Melting_Curves/meltCurve_P62424_RPL7A.pdf</t>
  </si>
  <si>
    <t>Melting_Curves/meltCurve_P62701_RPS4X.pdf</t>
  </si>
  <si>
    <t>Melting_Curves/meltCurve_P62745_RHOB.pdf</t>
  </si>
  <si>
    <t>Melting_Curves/meltCurve_P62753_RPS6.pdf</t>
  </si>
  <si>
    <t>Melting_Curves/meltCurve_P62805_HIST1H4A.pdf</t>
  </si>
  <si>
    <t>Melting_Curves/meltCurve_P62820_RAB1A.pdf</t>
  </si>
  <si>
    <t>Melting_Curves/meltCurve_P62834_RAP1A.pdf</t>
  </si>
  <si>
    <t>Melting_Curves/meltCurve_P62851_RPS25.pdf</t>
  </si>
  <si>
    <t>Melting_Curves/meltCurve_P62854_RPS26.pdf</t>
  </si>
  <si>
    <t>Melting_Curves/meltCurve_P62857_RPS28.pdf</t>
  </si>
  <si>
    <t>Melting_Curves/meltCurve_P62873_GNB1.pdf</t>
  </si>
  <si>
    <t>Melting_Curves/meltCurve_P62879_GNB2.pdf</t>
  </si>
  <si>
    <t>Melting_Curves/meltCurve_P62906_RPL10A.pdf</t>
  </si>
  <si>
    <t>Melting_Curves/meltCurve_P62937_PPIA.pdf</t>
  </si>
  <si>
    <t>Melting_Curves/meltCurve_P62942_FKBP1A.pdf</t>
  </si>
  <si>
    <t>Melting_Curves/meltCurve_P62979_RPS27A.pdf</t>
  </si>
  <si>
    <t>Melting_Curves/meltCurve_P62993_GRB2.pdf</t>
  </si>
  <si>
    <t>Melting_Curves/meltCurve_P63000_RAC1.pdf</t>
  </si>
  <si>
    <t>Melting_Curves/meltCurve_P63092_3_GNAS.pdf</t>
  </si>
  <si>
    <t>Melting_Curves/meltCurve_P63104_YWHAZ.pdf</t>
  </si>
  <si>
    <t>Melting_Curves/meltCurve_P63218_GNG5.pdf</t>
  </si>
  <si>
    <t>Melting_Curves/meltCurve_P63244_GNB2L1.pdf</t>
  </si>
  <si>
    <t>Melting_Curves/meltCurve_P63261_ACTG1.pdf</t>
  </si>
  <si>
    <t>Melting_Curves/meltCurve_P63267_ACTG2.pdf</t>
  </si>
  <si>
    <t>Melting_Curves/meltCurve_P67936_TPM4.pdf</t>
  </si>
  <si>
    <t>Melting_Curves/meltCurve_P67936_2_TPM4.pdf</t>
  </si>
  <si>
    <t>Melting_Curves/meltCurve_P68036_2_UBE2L3.pdf</t>
  </si>
  <si>
    <t>Melting_Curves/meltCurve_P68371_TUBB4B.pdf</t>
  </si>
  <si>
    <t>Melting_Curves/meltCurve_P68871_HBB.pdf</t>
  </si>
  <si>
    <t>Melting_Curves/meltCurve_P69905_HBA1.pdf</t>
  </si>
  <si>
    <t>Melting_Curves/meltCurve_P78324_SIRPA.pdf</t>
  </si>
  <si>
    <t>Melting_Curves/meltCurve_P78371_2_CCT2.pdf</t>
  </si>
  <si>
    <t>Melting_Curves/meltCurve_P78410_3_BTN3A2.pdf</t>
  </si>
  <si>
    <t>Melting_Curves/meltCurve_P78417_GSTO1.pdf</t>
  </si>
  <si>
    <t>Melting_Curves/meltCurve_P80108_GPLD1.pdf</t>
  </si>
  <si>
    <t>Melting_Curves/meltCurve_P80303_2_NUCB2.pdf</t>
  </si>
  <si>
    <t>Melting_Curves/meltCurve_P80748_.pdf</t>
  </si>
  <si>
    <t>Melting_Curves/meltCurve_P81605_DCD.pdf</t>
  </si>
  <si>
    <t>Melting_Curves/meltCurve_P84077_ARF1.pdf</t>
  </si>
  <si>
    <t>Melting_Curves/meltCurve_P84085_ARF5.pdf</t>
  </si>
  <si>
    <t>Melting_Curves/meltCurve_P98082_2_DAB2.pdf</t>
  </si>
  <si>
    <t>Melting_Curves/meltCurve_P98160_HSPG2.pdf</t>
  </si>
  <si>
    <t>Melting_Curves/meltCurve_P98164_LRP2.pdf</t>
  </si>
  <si>
    <t>Melting_Curves/meltCurve_P98174_FGD1.pdf</t>
  </si>
  <si>
    <t>Melting_Curves/meltCurve_Q00577_PURA.pdf</t>
  </si>
  <si>
    <t>Melting_Curves/meltCurve_Q00610_2_CLTC.pdf</t>
  </si>
  <si>
    <t>Melting_Curves/meltCurve_Q00688_FKBP3.pdf</t>
  </si>
  <si>
    <t>Melting_Curves/meltCurve_Q01082_SPTBN1.pdf</t>
  </si>
  <si>
    <t>Melting_Curves/meltCurve_Q01105_3_SET.pdf</t>
  </si>
  <si>
    <t>Melting_Curves/meltCurve_Q01459_CTBS.pdf</t>
  </si>
  <si>
    <t>Melting_Curves/meltCurve_Q01518_2_CAP1.pdf</t>
  </si>
  <si>
    <t>Melting_Curves/meltCurve_Q01970_2_PLCB3.pdf</t>
  </si>
  <si>
    <t>Melting_Curves/meltCurve_Q01973_3_ROR1.pdf</t>
  </si>
  <si>
    <t>Melting_Curves/meltCurve_Q02383_SEMG2.pdf</t>
  </si>
  <si>
    <t>Melting_Curves/meltCurve_Q02413_DSG1.pdf</t>
  </si>
  <si>
    <t>Melting_Curves/meltCurve_Q02487_2_DSC2.pdf</t>
  </si>
  <si>
    <t>Melting_Curves/meltCurve_Q02750_MAP2K1.pdf</t>
  </si>
  <si>
    <t>Melting_Curves/meltCurve_Q02790_FKBP4.pdf</t>
  </si>
  <si>
    <t>Melting_Curves/meltCurve_Q02809_PLOD1.pdf</t>
  </si>
  <si>
    <t>Melting_Curves/meltCurve_Q02818_NUCB1.pdf</t>
  </si>
  <si>
    <t>Melting_Curves/meltCurve_Q02985_2_CFHR3.pdf</t>
  </si>
  <si>
    <t>Melting_Curves/meltCurve_Q03167_2_TGFBR3.pdf</t>
  </si>
  <si>
    <t>Melting_Curves/meltCurve_Q03405_3_PLAUR.pdf</t>
  </si>
  <si>
    <t>Melting_Curves/meltCurve_Q03591_CFHR1.pdf</t>
  </si>
  <si>
    <t>Melting_Curves/meltCurve_Q04609_6_FOLH1.pdf</t>
  </si>
  <si>
    <t>Melting_Curves/meltCurve_Q04760_2_GLO1.pdf</t>
  </si>
  <si>
    <t>Melting_Curves/meltCurve_Q04917_YWHAH.pdf</t>
  </si>
  <si>
    <t>Melting_Curves/meltCurve_Q05707_3_COL14A1.pdf</t>
  </si>
  <si>
    <t>Melting_Curves/meltCurve_Q06033_2_ITIH3.pdf</t>
  </si>
  <si>
    <t>Melting_Curves/meltCurve_Q06210_2_GFPT1.pdf</t>
  </si>
  <si>
    <t>Melting_Curves/meltCurve_Q06481_APLP2.pdf</t>
  </si>
  <si>
    <t>Melting_Curves/meltCurve_Q06828_FMOD.pdf</t>
  </si>
  <si>
    <t>Melting_Curves/meltCurve_Q06830_PRDX1.pdf</t>
  </si>
  <si>
    <t>Melting_Curves/meltCurve_Q07065_CKAP4.pdf</t>
  </si>
  <si>
    <t>Melting_Curves/meltCurve_Q07960_ARHGAP1.pdf</t>
  </si>
  <si>
    <t>Melting_Curves/meltCurve_Q08188_TGM3.pdf</t>
  </si>
  <si>
    <t>Melting_Curves/meltCurve_Q08345_2_DDR1.pdf</t>
  </si>
  <si>
    <t>Melting_Curves/meltCurve_Q08380_LGALS3BP.pdf</t>
  </si>
  <si>
    <t>Melting_Curves/meltCurve_Q08554_2_DSC1.pdf</t>
  </si>
  <si>
    <t>Melting_Curves/meltCurve_Q08722_2_CD47.pdf</t>
  </si>
  <si>
    <t>Melting_Curves/meltCurve_Q09666_AHNAK.pdf</t>
  </si>
  <si>
    <t>Melting_Curves/meltCurve_Q10471_GALNT2.pdf</t>
  </si>
  <si>
    <t>Melting_Curves/meltCurve_Q10567_4_AP1B1.pdf</t>
  </si>
  <si>
    <t>Melting_Curves/meltCurve_Q10589_BST2.pdf</t>
  </si>
  <si>
    <t>Melting_Curves/meltCurve_Q12792_TWF1.pdf</t>
  </si>
  <si>
    <t>Melting_Curves/meltCurve_Q12797_10_ASPH.pdf</t>
  </si>
  <si>
    <t>Melting_Curves/meltCurve_Q12805_2_EFEMP1.pdf</t>
  </si>
  <si>
    <t>Melting_Curves/meltCurve_Q12841_FSTL1.pdf</t>
  </si>
  <si>
    <t>Melting_Curves/meltCurve_Q12904_AIMP1.pdf</t>
  </si>
  <si>
    <t>Melting_Curves/meltCurve_Q12913_2_PTPRJ.pdf</t>
  </si>
  <si>
    <t>Melting_Curves/meltCurve_Q13011_ECH1.pdf</t>
  </si>
  <si>
    <t>Melting_Curves/meltCurve_Q13113_PDZK1IP1.pdf</t>
  </si>
  <si>
    <t>Melting_Curves/meltCurve_Q13155_AIMP2.pdf</t>
  </si>
  <si>
    <t>Melting_Curves/meltCurve_Q13162_PRDX4.pdf</t>
  </si>
  <si>
    <t>Melting_Curves/meltCurve_Q13177_PAK2.pdf</t>
  </si>
  <si>
    <t>Melting_Curves/meltCurve_Q13188_STK3.pdf</t>
  </si>
  <si>
    <t>Melting_Curves/meltCurve_Q13200_PSMD2.pdf</t>
  </si>
  <si>
    <t>Melting_Curves/meltCurve_Q13217_DNAJC3.pdf</t>
  </si>
  <si>
    <t>Melting_Curves/meltCurve_Q13228_SELENBP1.pdf</t>
  </si>
  <si>
    <t>Melting_Curves/meltCurve_Q13232_NME3.pdf</t>
  </si>
  <si>
    <t>Melting_Curves/meltCurve_Q13287_NMI.pdf</t>
  </si>
  <si>
    <t>Melting_Curves/meltCurve_Q13410_BTN1A1.pdf</t>
  </si>
  <si>
    <t>Melting_Curves/meltCurve_Q13438_OS9.pdf</t>
  </si>
  <si>
    <t>Melting_Curves/meltCurve_Q13444_10_ADAM15.pdf</t>
  </si>
  <si>
    <t>Melting_Curves/meltCurve_Q13489_BIRC3.pdf</t>
  </si>
  <si>
    <t>Melting_Curves/meltCurve_Q13630_TSTA3.pdf</t>
  </si>
  <si>
    <t>Melting_Curves/meltCurve_Q13740_2_ALCAM.pdf</t>
  </si>
  <si>
    <t>Melting_Curves/meltCurve_Q13751_LAMB3.pdf</t>
  </si>
  <si>
    <t>Melting_Curves/meltCurve_Q13753_2_LAMC2.pdf</t>
  </si>
  <si>
    <t>Melting_Curves/meltCurve_Q13835_2_PKP1.pdf</t>
  </si>
  <si>
    <t>Melting_Curves/meltCurve_Q13907_IDI1.pdf</t>
  </si>
  <si>
    <t>Melting_Curves/meltCurve_Q14011_CIRBP.pdf</t>
  </si>
  <si>
    <t>Melting_Curves/meltCurve_Q14019_COTL1.pdf</t>
  </si>
  <si>
    <t>Melting_Curves/meltCurve_Q14118_DAG1.pdf</t>
  </si>
  <si>
    <t>Melting_Curves/meltCurve_Q14126_DSG2.pdf</t>
  </si>
  <si>
    <t>Melting_Curves/meltCurve_Q14195_DPYSL3.pdf</t>
  </si>
  <si>
    <t>Melting_Curves/meltCurve_Q14204_DYNC1H1.pdf</t>
  </si>
  <si>
    <t>Melting_Curves/meltCurve_Q14240_EIF4A2.pdf</t>
  </si>
  <si>
    <t>Melting_Curves/meltCurve_Q14247_CTTN.pdf</t>
  </si>
  <si>
    <t>Melting_Curves/meltCurve_Q14435_GALNT3.pdf</t>
  </si>
  <si>
    <t>Melting_Curves/meltCurve_Q14508_WFDC2.pdf</t>
  </si>
  <si>
    <t>Melting_Curves/meltCurve_Q14512_FGFBP1.pdf</t>
  </si>
  <si>
    <t>Melting_Curves/meltCurve_Q14520_2_HABP2.pdf</t>
  </si>
  <si>
    <t>Melting_Curves/meltCurve_Q14558_PRPSAP1.pdf</t>
  </si>
  <si>
    <t>Melting_Curves/meltCurve_Q14624_ITIH4.pdf</t>
  </si>
  <si>
    <t>Melting_Curves/meltCurve_Q14651_PLS1.pdf</t>
  </si>
  <si>
    <t>Melting_Curves/meltCurve_Q14696_MESDC2.pdf</t>
  </si>
  <si>
    <t>Melting_Curves/meltCurve_Q14697_GANAB.pdf</t>
  </si>
  <si>
    <t>Melting_Curves/meltCurve_Q14697_2_GANAB.pdf</t>
  </si>
  <si>
    <t>Melting_Curves/meltCurve_Q14703_MBTPS1.pdf</t>
  </si>
  <si>
    <t>Melting_Curves/meltCurve_Q14766_LTBP1.pdf</t>
  </si>
  <si>
    <t>Melting_Curves/meltCurve_Q14914_2_PTGR1.pdf</t>
  </si>
  <si>
    <t>Melting_Curves/meltCurve_Q14974_KPNB1.pdf</t>
  </si>
  <si>
    <t>Melting_Curves/meltCurve_Q14997_PSME4.pdf</t>
  </si>
  <si>
    <t>Melting_Curves/meltCurve_Q15046_KARS.pdf</t>
  </si>
  <si>
    <t>Melting_Curves/meltCurve_Q15056_2_EIF4H.pdf</t>
  </si>
  <si>
    <t>Melting_Curves/meltCurve_Q15075_EEA1.pdf</t>
  </si>
  <si>
    <t>Melting_Curves/meltCurve_Q15102_PAFAH1B3.pdf</t>
  </si>
  <si>
    <t>Melting_Curves/meltCurve_Q15113_PCOLCE.pdf</t>
  </si>
  <si>
    <t>Melting_Curves/meltCurve_Q15149_7_PLEC.pdf</t>
  </si>
  <si>
    <t>Melting_Curves/meltCurve_Q15181_PPA1.pdf</t>
  </si>
  <si>
    <t>Melting_Curves/meltCurve_Q15223_3_PVRL1.pdf</t>
  </si>
  <si>
    <t>Melting_Curves/meltCurve_Q15274_QPRT.pdf</t>
  </si>
  <si>
    <t>Melting_Curves/meltCurve_Q15293_RCN1.pdf</t>
  </si>
  <si>
    <t>Melting_Curves/meltCurve_Q15365_PCBP1.pdf</t>
  </si>
  <si>
    <t>Melting_Curves/meltCurve_Q15375_4_EPHA7.pdf</t>
  </si>
  <si>
    <t>Melting_Curves/meltCurve_Q15435_PPP1R7.pdf</t>
  </si>
  <si>
    <t>Melting_Curves/meltCurve_Q15485_FCN2.pdf</t>
  </si>
  <si>
    <t>Melting_Curves/meltCurve_Q15599_2_SLC9A3R2.pdf</t>
  </si>
  <si>
    <t>Melting_Curves/meltCurve_Q15738_NSDHL.pdf</t>
  </si>
  <si>
    <t>Melting_Curves/meltCurve_Q15758_SLC1A5.pdf</t>
  </si>
  <si>
    <t>Melting_Curves/meltCurve_Q15782_6_CHI3L2.pdf</t>
  </si>
  <si>
    <t>Melting_Curves/meltCurve_Q15828_CST6.pdf</t>
  </si>
  <si>
    <t>Melting_Curves/meltCurve_Q15833_STXBP2.pdf</t>
  </si>
  <si>
    <t>Melting_Curves/meltCurve_Q15848_ADIPOQ.pdf</t>
  </si>
  <si>
    <t>Melting_Curves/meltCurve_Q15904_ATP6AP1.pdf</t>
  </si>
  <si>
    <t>Melting_Curves/meltCurve_Q15907_RAB11B.pdf</t>
  </si>
  <si>
    <t>Melting_Curves/meltCurve_Q16222_2_UAP1.pdf</t>
  </si>
  <si>
    <t>Melting_Curves/meltCurve_Q16270_2_IGFBP7.pdf</t>
  </si>
  <si>
    <t>Melting_Curves/meltCurve_Q16348_2_SLC15A2.pdf</t>
  </si>
  <si>
    <t>Melting_Curves/meltCurve_Q16363_2_LAMA4.pdf</t>
  </si>
  <si>
    <t>Melting_Curves/meltCurve_Q16401_2_PSMD5.pdf</t>
  </si>
  <si>
    <t>Melting_Curves/meltCurve_Q16555_2_DPYSL2.pdf</t>
  </si>
  <si>
    <t>Melting_Curves/meltCurve_Q16610_ECM1.pdf</t>
  </si>
  <si>
    <t>Melting_Curves/meltCurve_Q16620_2_NTRK2.pdf</t>
  </si>
  <si>
    <t>Melting_Curves/meltCurve_Q16625_5_OCLN.pdf</t>
  </si>
  <si>
    <t>Melting_Curves/meltCurve_Q16651_PRSS8.pdf</t>
  </si>
  <si>
    <t>Melting_Curves/meltCurve_Q16706_MAN2A1.pdf</t>
  </si>
  <si>
    <t>Melting_Curves/meltCurve_Q16787_1_LAMA3.pdf</t>
  </si>
  <si>
    <t>Melting_Curves/meltCurve_Q16851_UGP2.pdf</t>
  </si>
  <si>
    <t>Melting_Curves/meltCurve_Q16851_2_UGP2.pdf</t>
  </si>
  <si>
    <t>Melting_Curves/meltCurve_Q24JP5_TMEM132A.pdf</t>
  </si>
  <si>
    <t>Melting_Curves/meltCurve_Q2I0M4_LRRC26.pdf</t>
  </si>
  <si>
    <t>Melting_Curves/meltCurve_Q31612_HLA_B.pdf</t>
  </si>
  <si>
    <t>Melting_Curves/meltCurve_Q32MZ4_3_LRRFIP1.pdf</t>
  </si>
  <si>
    <t>Melting_Curves/meltCurve_Q32P28_LEPRE1.pdf</t>
  </si>
  <si>
    <t>Melting_Curves/meltCurve_Q32Q12_NME1_NME2.pdf</t>
  </si>
  <si>
    <t>Melting_Curves/meltCurve_Q3LXA3_DAK.pdf</t>
  </si>
  <si>
    <t>Melting_Curves/meltCurve_Q3ZCW2_LGALSL.pdf</t>
  </si>
  <si>
    <t>Melting_Curves/meltCurve_Q53EL6_2_PDCD4.pdf</t>
  </si>
  <si>
    <t>Melting_Curves/meltCurve_Q53FA7_TP53I3.pdf</t>
  </si>
  <si>
    <t>Melting_Curves/meltCurve_Q53H82_LACTB2.pdf</t>
  </si>
  <si>
    <t>Melting_Curves/meltCurve_Q53TN4_3_CYBRD1.pdf</t>
  </si>
  <si>
    <t>Melting_Curves/meltCurve_Q5FBY0_ACPP.pdf</t>
  </si>
  <si>
    <t>Melting_Curves/meltCurve_Q5H8X8_UTS2.pdf</t>
  </si>
  <si>
    <t>Melting_Curves/meltCurve_Q5H9A7_TIMP1.pdf</t>
  </si>
  <si>
    <t>Melting_Curves/meltCurve_Q5HY54_FLNA.pdf</t>
  </si>
  <si>
    <t>Melting_Curves/meltCurve_Q5JP53_TUBB.pdf</t>
  </si>
  <si>
    <t>Melting_Curves/meltCurve_Q5JR95_RPS8.pdf</t>
  </si>
  <si>
    <t>Melting_Curves/meltCurve_Q5JU69_TOR2A.pdf</t>
  </si>
  <si>
    <t>Melting_Curves/meltCurve_Q5QPP3_GALE.pdf</t>
  </si>
  <si>
    <t>Melting_Curves/meltCurve_Q5QPQ1_LYPLA2.pdf</t>
  </si>
  <si>
    <t>Melting_Curves/meltCurve_Q5R3E4_MAPK13.pdf</t>
  </si>
  <si>
    <t>Melting_Curves/meltCurve_Q5RJ85_HLA_G.pdf</t>
  </si>
  <si>
    <t>Melting_Curves/meltCurve_Q5SPY9_NPDC1.pdf</t>
  </si>
  <si>
    <t>Melting_Curves/meltCurve_Q5SRP5_APOM.pdf</t>
  </si>
  <si>
    <t>Melting_Curves/meltCurve_Q5SRQ3_CSNK2B_LY6G5B_1181.pdf</t>
  </si>
  <si>
    <t>Melting_Curves/meltCurve_Q5SY01_PAFAH2.pdf</t>
  </si>
  <si>
    <t>Melting_Curves/meltCurve_Q5T0D2_CMPK1.pdf</t>
  </si>
  <si>
    <t>Melting_Curves/meltCurve_Q5T0N5_3_FNBP1L.pdf</t>
  </si>
  <si>
    <t>Melting_Curves/meltCurve_Q5T123_SH3BGRL3.pdf</t>
  </si>
  <si>
    <t>Melting_Curves/meltCurve_Q5T278_CCBL1.pdf</t>
  </si>
  <si>
    <t>Melting_Curves/meltCurve_Q5T2L0_VTCN1.pdf</t>
  </si>
  <si>
    <t>Melting_Curves/meltCurve_Q5T3N0_ANXA1.pdf</t>
  </si>
  <si>
    <t>Melting_Curves/meltCurve_Q5T446_UROD.pdf</t>
  </si>
  <si>
    <t>Melting_Curves/meltCurve_Q5T4U8_RABGGTB.pdf</t>
  </si>
  <si>
    <t>Melting_Curves/meltCurve_Q5T5C7_SARS.pdf</t>
  </si>
  <si>
    <t>Melting_Curves/meltCurve_Q5T6W2_HNRNPK.pdf</t>
  </si>
  <si>
    <t>Melting_Curves/meltCurve_Q5T749_KPRP.pdf</t>
  </si>
  <si>
    <t>Melting_Curves/meltCurve_Q5T750_XP32.pdf</t>
  </si>
  <si>
    <t>Melting_Curves/meltCurve_Q5T8R3_SLC16A1.pdf</t>
  </si>
  <si>
    <t>Melting_Curves/meltCurve_Q5T946_GRHPR.pdf</t>
  </si>
  <si>
    <t>Melting_Curves/meltCurve_Q5T949_PPP2R4.pdf</t>
  </si>
  <si>
    <t>Melting_Curves/meltCurve_Q5T985_ITIH2.pdf</t>
  </si>
  <si>
    <t>Melting_Curves/meltCurve_Q5T9B7_AK1.pdf</t>
  </si>
  <si>
    <t>Melting_Curves/meltCurve_Q5TAW7_CAB39L.pdf</t>
  </si>
  <si>
    <t>Melting_Curves/meltCurve_Q5TCJ7_SEMA4A.pdf</t>
  </si>
  <si>
    <t>Melting_Curves/meltCurve_Q5TCU6_TLN1.pdf</t>
  </si>
  <si>
    <t>Melting_Curves/meltCurve_Q5TFK1_EIF3I.pdf</t>
  </si>
  <si>
    <t>Melting_Curves/meltCurve_Q5VT82_PCDH9.pdf</t>
  </si>
  <si>
    <t>Melting_Curves/meltCurve_Q5VTE0_EEF1A1P5.pdf</t>
  </si>
  <si>
    <t>Melting_Curves/meltCurve_Q5VU59_TPM3.pdf</t>
  </si>
  <si>
    <t>Melting_Curves/meltCurve_Q5VUC0_OLAH.pdf</t>
  </si>
  <si>
    <t>Melting_Curves/meltCurve_Q5VY30_RBP4.pdf</t>
  </si>
  <si>
    <t>Melting_Curves/meltCurve_Q5VYL6_CFHR5.pdf</t>
  </si>
  <si>
    <t>Melting_Curves/meltCurve_Q5W0A2_ITM2B.pdf</t>
  </si>
  <si>
    <t>Melting_Curves/meltCurve_Q5W0H4_TPT1.pdf</t>
  </si>
  <si>
    <t>Melting_Curves/meltCurve_Q5Y7A7_HLA_DRB1.pdf</t>
  </si>
  <si>
    <t>Melting_Curves/meltCurve_Q66K79_CPZ.pdf</t>
  </si>
  <si>
    <t>Melting_Curves/meltCurve_Q68CR9_DKFZp781B11202.pdf</t>
  </si>
  <si>
    <t>Melting_Curves/meltCurve_Q68D85_NCR3LG1.pdf</t>
  </si>
  <si>
    <t>Melting_Curves/meltCurve_Q6EMK4_VASN.pdf</t>
  </si>
  <si>
    <t>Melting_Curves/meltCurve_Q6GMV3_PTRHD1.pdf</t>
  </si>
  <si>
    <t>Melting_Curves/meltCurve_Q6ICJ4_Em_AP000351_3.pdf</t>
  </si>
  <si>
    <t>Melting_Curves/meltCurve_Q6NSI1_ANKRD26P1.pdf</t>
  </si>
  <si>
    <t>Melting_Curves/meltCurve_Q6P163_APOC2.pdf</t>
  </si>
  <si>
    <t>Melting_Curves/meltCurve_Q6P179_3_ERAP2.pdf</t>
  </si>
  <si>
    <t>Melting_Curves/meltCurve_Q6P4E1_2_CASC4.pdf</t>
  </si>
  <si>
    <t>Melting_Curves/meltCurve_Q6P5S2_C6orf58.pdf</t>
  </si>
  <si>
    <t>Melting_Curves/meltCurve_Q6P6B1_C8orf47.pdf</t>
  </si>
  <si>
    <t>Melting_Curves/meltCurve_Q6PCB0_VWA1.pdf</t>
  </si>
  <si>
    <t>Melting_Curves/meltCurve_Q6UW49_SPESP1.pdf</t>
  </si>
  <si>
    <t>Melting_Curves/meltCurve_Q6UWP8_SBSN.pdf</t>
  </si>
  <si>
    <t>Melting_Curves/meltCurve_Q6UX06_OLFM4.pdf</t>
  </si>
  <si>
    <t>Melting_Curves/meltCurve_Q6UX71_PLXDC2.pdf</t>
  </si>
  <si>
    <t>Melting_Curves/meltCurve_Q6UX72_B3GNT9.pdf</t>
  </si>
  <si>
    <t>Melting_Curves/meltCurve_Q6UXA7_C6orf15.pdf</t>
  </si>
  <si>
    <t>Melting_Curves/meltCurve_Q6UXB2_CXCL17.pdf</t>
  </si>
  <si>
    <t>Melting_Curves/meltCurve_Q6UXI9_NPNT.pdf</t>
  </si>
  <si>
    <t>Melting_Curves/meltCurve_Q6UXU6_TMEM92.pdf</t>
  </si>
  <si>
    <t>Melting_Curves/meltCurve_Q6W4X9_MUC6.pdf</t>
  </si>
  <si>
    <t>Melting_Curves/meltCurve_Q6WN34_CHRDL2.pdf</t>
  </si>
  <si>
    <t>Melting_Curves/meltCurve_Q6WN34_2_CHRDL2.pdf</t>
  </si>
  <si>
    <t>Melting_Curves/meltCurve_Q6X4U4_SOSTDC1.pdf</t>
  </si>
  <si>
    <t>Melting_Curves/meltCurve_Q6YHK3_3_CD109.pdf</t>
  </si>
  <si>
    <t>Melting_Curves/meltCurve_Q6YP21_3_CCBL2.pdf</t>
  </si>
  <si>
    <t>Melting_Curves/meltCurve_Q6ZQN7_SLCO4C1.pdf</t>
  </si>
  <si>
    <t>Melting_Curves/meltCurve_Q6ZVX7_NCCRP1.pdf</t>
  </si>
  <si>
    <t>Melting_Curves/meltCurve_Q6ZWK4_C1orf186.pdf</t>
  </si>
  <si>
    <t>Melting_Curves/meltCurve_Q71U36_2_TUBA1A.pdf</t>
  </si>
  <si>
    <t>Melting_Curves/meltCurve_Q7KZF4_SND1.pdf</t>
  </si>
  <si>
    <t>Melting_Curves/meltCurve_Q7L1Q6_2_BZW1.pdf</t>
  </si>
  <si>
    <t>Melting_Curves/meltCurve_Q7L266_ASRGL1.pdf</t>
  </si>
  <si>
    <t>Melting_Curves/meltCurve_Q7LBR1_CHMP1B.pdf</t>
  </si>
  <si>
    <t>Melting_Curves/meltCurve_Q7Z304_MAMDC2.pdf</t>
  </si>
  <si>
    <t>Melting_Curves/meltCurve_Q7Z404_1_TMC4.pdf</t>
  </si>
  <si>
    <t>Melting_Curves/meltCurve_Q7Z451_AP2B1.pdf</t>
  </si>
  <si>
    <t>Melting_Curves/meltCurve_Q7Z553_MDGA2.pdf</t>
  </si>
  <si>
    <t>Melting_Curves/meltCurve_Q7Z6K5_C15orf38.pdf</t>
  </si>
  <si>
    <t>Melting_Curves/meltCurve_Q7Z6Z7_2_HUWE1.pdf</t>
  </si>
  <si>
    <t>Melting_Curves/meltCurve_Q7Z7H5_3_TMED4.pdf</t>
  </si>
  <si>
    <t>Melting_Curves/meltCurve_Q7Z7M0_2_MEGF8.pdf</t>
  </si>
  <si>
    <t>Melting_Curves/meltCurve_Q7Z7M9_GALNT5.pdf</t>
  </si>
  <si>
    <t>Melting_Curves/meltCurve_Q86SQ4_2_GPR126.pdf</t>
  </si>
  <si>
    <t>Melting_Curves/meltCurve_Q86UP2_2_KTN1.pdf</t>
  </si>
  <si>
    <t>Melting_Curves/meltCurve_Q86UY0_TXNDC5.pdf</t>
  </si>
  <si>
    <t>Melting_Curves/meltCurve_Q86V85_GPR180.pdf</t>
  </si>
  <si>
    <t>Melting_Curves/meltCurve_Q86VP6_CAND1.pdf</t>
  </si>
  <si>
    <t>Melting_Curves/meltCurve_Q86WR0_CCDC25.pdf</t>
  </si>
  <si>
    <t>Melting_Curves/meltCurve_Q86X27_2_RALGPS2.pdf</t>
  </si>
  <si>
    <t>Melting_Curves/meltCurve_Q86Y38_XYLT1.pdf</t>
  </si>
  <si>
    <t>Melting_Curves/meltCurve_Q86Y82_STX12.pdf</t>
  </si>
  <si>
    <t>Melting_Curves/meltCurve_Q8IUX7_AEBP1.pdf</t>
  </si>
  <si>
    <t>Melting_Curves/meltCurve_Q8IV08_PLD3.pdf</t>
  </si>
  <si>
    <t>Melting_Curves/meltCurve_Q8IVY1_C1orf210.pdf</t>
  </si>
  <si>
    <t>Melting_Curves/meltCurve_Q8IXL6_FAM20C.pdf</t>
  </si>
  <si>
    <t>Melting_Curves/meltCurve_Q8IZ07_ANKRD13A.pdf</t>
  </si>
  <si>
    <t>Melting_Curves/meltCurve_Q8IZ21_3_PHACTR4.pdf</t>
  </si>
  <si>
    <t>Melting_Curves/meltCurve_Q8N0X7_SPG20.pdf</t>
  </si>
  <si>
    <t>Melting_Curves/meltCurve_Q8N1G4_LRRC47.pdf</t>
  </si>
  <si>
    <t>Melting_Curves/meltCurve_Q8N271_PROM2.pdf</t>
  </si>
  <si>
    <t>Melting_Curves/meltCurve_Q8N335_GPD1L.pdf</t>
  </si>
  <si>
    <t>Melting_Curves/meltCurve_Q8N387_MUC15.pdf</t>
  </si>
  <si>
    <t>Melting_Curves/meltCurve_Q8N392_2_ARHGAP18.pdf</t>
  </si>
  <si>
    <t>Melting_Curves/meltCurve_Q8N474_SFRP1.pdf</t>
  </si>
  <si>
    <t>Melting_Curves/meltCurve_Q8N8Z6_2_DCBLD1.pdf</t>
  </si>
  <si>
    <t>Melting_Curves/meltCurve_Q8N9U0_TC2N.pdf</t>
  </si>
  <si>
    <t>Melting_Curves/meltCurve_Q8NBF2_NHLRC2.pdf</t>
  </si>
  <si>
    <t>Melting_Curves/meltCurve_Q8NBJ4_2_GOLM1.pdf</t>
  </si>
  <si>
    <t>Melting_Curves/meltCurve_Q8NC51_4_SERBP1.pdf</t>
  </si>
  <si>
    <t>Melting_Curves/meltCurve_Q8NCC3_PLA2G15.pdf</t>
  </si>
  <si>
    <t>Melting_Curves/meltCurve_Q8NCL4_GALNT6.pdf</t>
  </si>
  <si>
    <t>Melting_Curves/meltCurve_Q8NEG4_2_FAM83F.pdf</t>
  </si>
  <si>
    <t>Melting_Curves/meltCurve_Q8NES3_3_LFNG.pdf</t>
  </si>
  <si>
    <t>Melting_Curves/meltCurve_Q8NFL0_B3GNT7.pdf</t>
  </si>
  <si>
    <t>Melting_Curves/meltCurve_Q8NFT8_DNER.pdf</t>
  </si>
  <si>
    <t>Melting_Curves/meltCurve_Q8NFU4_FDCSP.pdf</t>
  </si>
  <si>
    <t>Melting_Curves/meltCurve_Q8NFZ8_CADM4.pdf</t>
  </si>
  <si>
    <t>Melting_Curves/meltCurve_Q8NHG7_SVIP.pdf</t>
  </si>
  <si>
    <t>Melting_Curves/meltCurve_Q8NHM4_TRY6.pdf</t>
  </si>
  <si>
    <t>Melting_Curves/meltCurve_Q8NHP8_PLBD2.pdf</t>
  </si>
  <si>
    <t>Melting_Curves/meltCurve_Q8NI22_2_MCFD2.pdf</t>
  </si>
  <si>
    <t>Melting_Curves/meltCurve_Q8TB96_ITFG1.pdf</t>
  </si>
  <si>
    <t>Melting_Curves/meltCurve_Q8TBP5_FAM174A.pdf</t>
  </si>
  <si>
    <t>Melting_Curves/meltCurve_Q8TEA8_DTD1.pdf</t>
  </si>
  <si>
    <t>Melting_Curves/meltCurve_Q8WUA8_TSKU.pdf</t>
  </si>
  <si>
    <t>Melting_Curves/meltCurve_Q8WUH6_C12orf23.pdf</t>
  </si>
  <si>
    <t>Melting_Curves/meltCurve_Q8WUM4_PDCD6IP.pdf</t>
  </si>
  <si>
    <t>Melting_Curves/meltCurve_Q8WV88_TGFB3.pdf</t>
  </si>
  <si>
    <t>Melting_Curves/meltCurve_Q8WVC2_RPS21.pdf</t>
  </si>
  <si>
    <t>Melting_Curves/meltCurve_Q8WVQ1_CANT1.pdf</t>
  </si>
  <si>
    <t>Melting_Curves/meltCurve_Q8WVY7_UBLCP1.pdf</t>
  </si>
  <si>
    <t>Melting_Curves/meltCurve_Q8WWX8_5_SLC5A11.pdf</t>
  </si>
  <si>
    <t>Melting_Curves/meltCurve_Q8WWX9_SELM.pdf</t>
  </si>
  <si>
    <t>Melting_Curves/meltCurve_Q8WYA0_4_IFT81.pdf</t>
  </si>
  <si>
    <t>Melting_Curves/meltCurve_Q8WYQ7_LGALS9.pdf</t>
  </si>
  <si>
    <t>Melting_Curves/meltCurve_Q8WZA0_LZIC.pdf</t>
  </si>
  <si>
    <t>Melting_Curves/meltCurve_Q8WZA9_IRGQ.pdf</t>
  </si>
  <si>
    <t>Melting_Curves/meltCurve_Q92485_SMPDL3B.pdf</t>
  </si>
  <si>
    <t>Melting_Curves/meltCurve_Q92499_DDX1.pdf</t>
  </si>
  <si>
    <t>Melting_Curves/meltCurve_Q92520_FAM3C.pdf</t>
  </si>
  <si>
    <t>Melting_Curves/meltCurve_Q92597_NDRG1.pdf</t>
  </si>
  <si>
    <t>Melting_Curves/meltCurve_Q92598_2_HSPH1.pdf</t>
  </si>
  <si>
    <t>Melting_Curves/meltCurve_Q92626_PXDN.pdf</t>
  </si>
  <si>
    <t>Melting_Curves/meltCurve_Q92673_SORL1.pdf</t>
  </si>
  <si>
    <t>Melting_Curves/meltCurve_Q92692_2_PVRL2.pdf</t>
  </si>
  <si>
    <t>Melting_Curves/meltCurve_Q92747_ARPC1A.pdf</t>
  </si>
  <si>
    <t>Melting_Curves/meltCurve_Q92820_GGH.pdf</t>
  </si>
  <si>
    <t>Melting_Curves/meltCurve_Q92859_3_NEO1.pdf</t>
  </si>
  <si>
    <t>Melting_Curves/meltCurve_Q92876_KLK6.pdf</t>
  </si>
  <si>
    <t>Melting_Curves/meltCurve_Q92882_OSTF1.pdf</t>
  </si>
  <si>
    <t>Melting_Curves/meltCurve_Q92896_GLG1.pdf</t>
  </si>
  <si>
    <t>Melting_Curves/meltCurve_Q93099_HGD.pdf</t>
  </si>
  <si>
    <t>Melting_Curves/meltCurve_Q95604_HLA_C.pdf</t>
  </si>
  <si>
    <t>Melting_Curves/meltCurve_Q969P0_3_IGSF8.pdf</t>
  </si>
  <si>
    <t>Melting_Curves/meltCurve_Q96A44_SPSB4.pdf</t>
  </si>
  <si>
    <t>Melting_Curves/meltCurve_Q96AG4_LRRC59.pdf</t>
  </si>
  <si>
    <t>Melting_Curves/meltCurve_Q96BA8_2_CREB3L1.pdf</t>
  </si>
  <si>
    <t>Melting_Curves/meltCurve_Q96C19_EFHD2.pdf</t>
  </si>
  <si>
    <t>Melting_Curves/meltCurve_Q96CF2_CHMP4C.pdf</t>
  </si>
  <si>
    <t>Melting_Curves/meltCurve_Q96CN7_ISOC1.pdf</t>
  </si>
  <si>
    <t>Melting_Curves/meltCurve_Q96DA0_ZG16B.pdf</t>
  </si>
  <si>
    <t>Melting_Curves/meltCurve_Q96DE0_3_NUDT16.pdf</t>
  </si>
  <si>
    <t>Melting_Curves/meltCurve_Q96DZ1_2_ERLEC1.pdf</t>
  </si>
  <si>
    <t>Melting_Curves/meltCurve_Q96EU7_C1GALT1C1.pdf</t>
  </si>
  <si>
    <t>Melting_Curves/meltCurve_Q96FE7_4_PIK3IP1.pdf</t>
  </si>
  <si>
    <t>Melting_Curves/meltCurve_Q96FQ6_S100A16.pdf</t>
  </si>
  <si>
    <t>Melting_Curves/meltCurve_Q96G03_PGM2.pdf</t>
  </si>
  <si>
    <t>Melting_Curves/meltCurve_Q96HD1_CRELD1.pdf</t>
  </si>
  <si>
    <t>Melting_Curves/meltCurve_Q96HE7_ERO1L.pdf</t>
  </si>
  <si>
    <t>Melting_Curves/meltCurve_Q96HY6_2_DDRGK1.pdf</t>
  </si>
  <si>
    <t>Melting_Curves/meltCurve_Q96IJ6_GMPPA.pdf</t>
  </si>
  <si>
    <t>Melting_Curves/meltCurve_Q96IY4_CPB2.pdf</t>
  </si>
  <si>
    <t>Melting_Curves/meltCurve_Q96K76_2_USP47.pdf</t>
  </si>
  <si>
    <t>Melting_Curves/meltCurve_Q96KN1_FAM84B.pdf</t>
  </si>
  <si>
    <t>Melting_Curves/meltCurve_Q96KP4_CNDP2.pdf</t>
  </si>
  <si>
    <t>Melting_Curves/meltCurve_Q96L35_EPHB4.pdf</t>
  </si>
  <si>
    <t>Melting_Curves/meltCurve_Q96LJ7_DHRS1.pdf</t>
  </si>
  <si>
    <t>Melting_Curves/meltCurve_Q96M27_4_PRRC1.pdf</t>
  </si>
  <si>
    <t>Melting_Curves/meltCurve_Q96M93_2_ADAD1.pdf</t>
  </si>
  <si>
    <t>Melting_Curves/meltCurve_Q96MK3_FAM20A.pdf</t>
  </si>
  <si>
    <t>Melting_Curves/meltCurve_Q96NY8_PVRL4.pdf</t>
  </si>
  <si>
    <t>Melting_Curves/meltCurve_Q96PD5_PGLYRP2.pdf</t>
  </si>
  <si>
    <t>Melting_Curves/meltCurve_Q96Q06_PLIN4.pdf</t>
  </si>
  <si>
    <t>Melting_Curves/meltCurve_Q96QK1_VPS35.pdf</t>
  </si>
  <si>
    <t>Melting_Curves/meltCurve_Q96QR8_PURB.pdf</t>
  </si>
  <si>
    <t>Melting_Curves/meltCurve_Q96RF0_3_SNX18.pdf</t>
  </si>
  <si>
    <t>Melting_Curves/meltCurve_Q96S96_PEBP4.pdf</t>
  </si>
  <si>
    <t>Melting_Curves/meltCurve_Q96TA1_2_FAM129B.pdf</t>
  </si>
  <si>
    <t>Melting_Curves/meltCurve_Q99436_PSMB7.pdf</t>
  </si>
  <si>
    <t>Melting_Curves/meltCurve_Q99447_3_PCYT2.pdf</t>
  </si>
  <si>
    <t>Melting_Curves/meltCurve_Q99460_PSMD1.pdf</t>
  </si>
  <si>
    <t>Melting_Curves/meltCurve_Q99497_PARK7.pdf</t>
  </si>
  <si>
    <t>Melting_Curves/meltCurve_Q99519_NEU1.pdf</t>
  </si>
  <si>
    <t>Melting_Curves/meltCurve_Q99523_SORT1.pdf</t>
  </si>
  <si>
    <t>Melting_Curves/meltCurve_Q99536_VAT1.pdf</t>
  </si>
  <si>
    <t>Melting_Curves/meltCurve_Q99538_LGMN.pdf</t>
  </si>
  <si>
    <t>Melting_Curves/meltCurve_Q99541_PLIN2.pdf</t>
  </si>
  <si>
    <t>Melting_Curves/meltCurve_Q99574_SERPINI1.pdf</t>
  </si>
  <si>
    <t>Melting_Curves/meltCurve_Q99584_S100A13.pdf</t>
  </si>
  <si>
    <t>Melting_Curves/meltCurve_Q99650_OSMR.pdf</t>
  </si>
  <si>
    <t>Melting_Curves/meltCurve_Q99674_CGREF1.pdf</t>
  </si>
  <si>
    <t>Melting_Curves/meltCurve_Q99727_TIMP4.pdf</t>
  </si>
  <si>
    <t>Melting_Curves/meltCurve_Q99805_TM9SF2.pdf</t>
  </si>
  <si>
    <t>Melting_Curves/meltCurve_Q99828_CIB1.pdf</t>
  </si>
  <si>
    <t>Melting_Curves/meltCurve_Q99832_3_CCT7.pdf</t>
  </si>
  <si>
    <t>Melting_Curves/meltCurve_Q99878_HIST1H2AJ.pdf</t>
  </si>
  <si>
    <t>Melting_Curves/meltCurve_Q99941_2_ATF6B.pdf</t>
  </si>
  <si>
    <t>Melting_Curves/meltCurve_Q9BPX5_ARPC5L.pdf</t>
  </si>
  <si>
    <t>Melting_Curves/meltCurve_Q9BR76_CORO1B.pdf</t>
  </si>
  <si>
    <t>Melting_Curves/meltCurve_Q9BRA2_TXNDC17.pdf</t>
  </si>
  <si>
    <t>Melting_Curves/meltCurve_Q9BRK5_SDF4.pdf</t>
  </si>
  <si>
    <t>Melting_Curves/meltCurve_Q9BS26_ERP44.pdf</t>
  </si>
  <si>
    <t>Melting_Curves/meltCurve_Q9BS40_LXN.pdf</t>
  </si>
  <si>
    <t>Melting_Curves/meltCurve_Q9BSG0_PRADC1.pdf</t>
  </si>
  <si>
    <t>Melting_Curves/meltCurve_Q9BSH5_HDHD3.pdf</t>
  </si>
  <si>
    <t>Melting_Curves/meltCurve_Q9BSJ8_ESYT1.pdf</t>
  </si>
  <si>
    <t>Melting_Curves/meltCurve_Q9BTY2_FUCA2.pdf</t>
  </si>
  <si>
    <t>Melting_Curves/meltCurve_Q9BUB1_PRKAR2A.pdf</t>
  </si>
  <si>
    <t>Melting_Curves/meltCurve_Q9BUF5_TUBB6.pdf</t>
  </si>
  <si>
    <t>Melting_Curves/meltCurve_Q9BUF7_CRB3.pdf</t>
  </si>
  <si>
    <t>Melting_Curves/meltCurve_Q9BUP0_EFHD1.pdf</t>
  </si>
  <si>
    <t>Melting_Curves/meltCurve_Q9BVC6_TMEM109.pdf</t>
  </si>
  <si>
    <t>Melting_Curves/meltCurve_Q9BVG4_PBDC1.pdf</t>
  </si>
  <si>
    <t>Melting_Curves/meltCurve_Q9BVJ7_DUSP23.pdf</t>
  </si>
  <si>
    <t>Melting_Curves/meltCurve_Q9BW04_SARG.pdf</t>
  </si>
  <si>
    <t>Melting_Curves/meltCurve_Q9BWD1_ACAT2.pdf</t>
  </si>
  <si>
    <t>Melting_Curves/meltCurve_Q9BXJ1_C1QTNF1.pdf</t>
  </si>
  <si>
    <t>Melting_Curves/meltCurve_Q9BY67_2_CADM1.pdf</t>
  </si>
  <si>
    <t>Melting_Curves/meltCurve_Q9BY76_ANGPTL4.pdf</t>
  </si>
  <si>
    <t>Melting_Curves/meltCurve_Q9BYF1_ACE2.pdf</t>
  </si>
  <si>
    <t>Melting_Curves/meltCurve_Q9BZD6_PRRG4.pdf</t>
  </si>
  <si>
    <t>Melting_Curves/meltCurve_Q9GZM7_3_TINAGL1.pdf</t>
  </si>
  <si>
    <t>Melting_Curves/meltCurve_Q9GZN4_PRSS22.pdf</t>
  </si>
  <si>
    <t>Melting_Curves/meltCurve_Q9GZP0_2_PDGFD.pdf</t>
  </si>
  <si>
    <t>Melting_Curves/meltCurve_Q9H0E2_TOLLIP.pdf</t>
  </si>
  <si>
    <t>Melting_Curves/meltCurve_Q9H0N0_RAB6C.pdf</t>
  </si>
  <si>
    <t>Melting_Curves/meltCurve_Q9H0Q0_FAM49A.pdf</t>
  </si>
  <si>
    <t>Melting_Curves/meltCurve_Q9H0U4_RAB1B.pdf</t>
  </si>
  <si>
    <t>Melting_Curves/meltCurve_Q9H0W9_3_C11orf54.pdf</t>
  </si>
  <si>
    <t>Melting_Curves/meltCurve_Q9H0X4_ITFG3.pdf</t>
  </si>
  <si>
    <t>Melting_Curves/meltCurve_Q9H173_SIL1.pdf</t>
  </si>
  <si>
    <t>Melting_Curves/meltCurve_Q9H1C7_CYSTM1.pdf</t>
  </si>
  <si>
    <t>Melting_Curves/meltCurve_Q9H1J1_3_UPF3A.pdf</t>
  </si>
  <si>
    <t>Melting_Curves/meltCurve_Q9H1X3_3_DNAJC25.pdf</t>
  </si>
  <si>
    <t>Melting_Curves/meltCurve_Q9H223_EHD4.pdf</t>
  </si>
  <si>
    <t>Melting_Curves/meltCurve_Q9H246_C1orf21.pdf</t>
  </si>
  <si>
    <t>Melting_Curves/meltCurve_Q9H257_3_CARD9.pdf</t>
  </si>
  <si>
    <t>Melting_Curves/meltCurve_Q9H2G2_2_SLK.pdf</t>
  </si>
  <si>
    <t>Melting_Curves/meltCurve_Q9H2K8_TAOK3.pdf</t>
  </si>
  <si>
    <t>Melting_Curves/meltCurve_Q9H2S1_KCNN2.pdf</t>
  </si>
  <si>
    <t>Melting_Curves/meltCurve_Q9H3G5_CPVL.pdf</t>
  </si>
  <si>
    <t>Melting_Curves/meltCurve_Q9H3K6_BOLA2.pdf</t>
  </si>
  <si>
    <t>Melting_Curves/meltCurve_Q9H3Z4_2_DNAJC5.pdf</t>
  </si>
  <si>
    <t>Melting_Curves/meltCurve_Q9H444_CHMP4B.pdf</t>
  </si>
  <si>
    <t>Melting_Curves/meltCurve_Q9H479_FN3K.pdf</t>
  </si>
  <si>
    <t>Melting_Curves/meltCurve_Q9H4F8_SMOC1.pdf</t>
  </si>
  <si>
    <t>Melting_Curves/meltCurve_Q9H4G4_GLIPR2.pdf</t>
  </si>
  <si>
    <t>Melting_Curves/meltCurve_Q9H6S3_EPS8L2.pdf</t>
  </si>
  <si>
    <t>Melting_Curves/meltCurve_Q9H741_C12orf49.pdf</t>
  </si>
  <si>
    <t>Melting_Curves/meltCurve_Q9H772_GREM2.pdf</t>
  </si>
  <si>
    <t>Melting_Curves/meltCurve_Q9H773_DCTPP1.pdf</t>
  </si>
  <si>
    <t>Melting_Curves/meltCurve_Q9H813_TMEM206.pdf</t>
  </si>
  <si>
    <t>Melting_Curves/meltCurve_Q9H8J5_MANSC1.pdf</t>
  </si>
  <si>
    <t>Melting_Curves/meltCurve_Q9H8M7_2_FAM188A.pdf</t>
  </si>
  <si>
    <t>Melting_Curves/meltCurve_Q9H8S9_MOB1A.pdf</t>
  </si>
  <si>
    <t>Melting_Curves/meltCurve_Q9HAB8_PPCS.pdf</t>
  </si>
  <si>
    <t>Melting_Curves/meltCurve_Q9HAT2_SIAE.pdf</t>
  </si>
  <si>
    <t>Melting_Curves/meltCurve_Q9HAV0_GNB4.pdf</t>
  </si>
  <si>
    <t>Melting_Curves/meltCurve_Q9HB40_SCPEP1.pdf</t>
  </si>
  <si>
    <t>Melting_Curves/meltCurve_Q9HB63_3_NTN4.pdf</t>
  </si>
  <si>
    <t>Melting_Curves/meltCurve_Q9HB71_3_CACYBP.pdf</t>
  </si>
  <si>
    <t>Melting_Curves/meltCurve_Q9HBR0_SLC38A10.pdf</t>
  </si>
  <si>
    <t>Melting_Curves/meltCurve_Q9HC38_2_GLOD4.pdf</t>
  </si>
  <si>
    <t>Melting_Curves/meltCurve_Q9HC57_WFDC1.pdf</t>
  </si>
  <si>
    <t>Melting_Curves/meltCurve_Q9HCB6_SPON1.pdf</t>
  </si>
  <si>
    <t>Melting_Curves/meltCurve_Q9HCU4_CELSR2.pdf</t>
  </si>
  <si>
    <t>Melting_Curves/meltCurve_Q9HCY8_S100A14.pdf</t>
  </si>
  <si>
    <t>Melting_Curves/meltCurve_Q9NP72_RAB18.pdf</t>
  </si>
  <si>
    <t>Melting_Curves/meltCurve_Q9NQE9_HINT3.pdf</t>
  </si>
  <si>
    <t>Melting_Curves/meltCurve_Q9NQR4_NIT2.pdf</t>
  </si>
  <si>
    <t>Melting_Curves/meltCurve_Q9NQT8_KIF13B.pdf</t>
  </si>
  <si>
    <t>Melting_Curves/meltCurve_Q9NQW7_2_XPNPEP1.pdf</t>
  </si>
  <si>
    <t>Melting_Curves/meltCurve_Q9NR16_3_CD163L1.pdf</t>
  </si>
  <si>
    <t>Melting_Curves/meltCurve_Q9NR19_ACSS2.pdf</t>
  </si>
  <si>
    <t>Melting_Curves/meltCurve_Q9NR31_SAR1A.pdf</t>
  </si>
  <si>
    <t>Melting_Curves/meltCurve_Q9NR45_NANS.pdf</t>
  </si>
  <si>
    <t>Melting_Curves/meltCurve_Q9NR99_MXRA5.pdf</t>
  </si>
  <si>
    <t>Melting_Curves/meltCurve_Q9NRR5_UBQLN4.pdf</t>
  </si>
  <si>
    <t>Melting_Curves/meltCurve_Q9NRR8_CDC42SE1.pdf</t>
  </si>
  <si>
    <t>Melting_Curves/meltCurve_Q9NRV9_HEBP1.pdf</t>
  </si>
  <si>
    <t>Melting_Curves/meltCurve_Q9NSD9_FARSB.pdf</t>
  </si>
  <si>
    <t>Melting_Curves/meltCurve_Q9NT62_2_ATG3.pdf</t>
  </si>
  <si>
    <t>Melting_Curves/meltCurve_Q9NTX5_6_ECHDC1.pdf</t>
  </si>
  <si>
    <t>Melting_Curves/meltCurve_Q9NV23_OLAH.pdf</t>
  </si>
  <si>
    <t>Melting_Curves/meltCurve_Q9NVE4_CCDC87.pdf</t>
  </si>
  <si>
    <t>Melting_Curves/meltCurve_Q9NVM1_EVA1B.pdf</t>
  </si>
  <si>
    <t>Melting_Curves/meltCurve_Q9NW21_FAM49B.pdf</t>
  </si>
  <si>
    <t>Melting_Curves/meltCurve_Q9NX46_ADPRHL2.pdf</t>
  </si>
  <si>
    <t>Melting_Curves/meltCurve_Q9NX55_HYPK.pdf</t>
  </si>
  <si>
    <t>Melting_Curves/meltCurve_Q9NX62_IMPAD1.pdf</t>
  </si>
  <si>
    <t>Melting_Curves/meltCurve_Q9NY15_STAB1.pdf</t>
  </si>
  <si>
    <t>Melting_Curves/meltCurve_Q9NY97_2_B3GNT2.pdf</t>
  </si>
  <si>
    <t>Melting_Curves/meltCurve_Q9NYQ8_FAT2.pdf</t>
  </si>
  <si>
    <t>Melting_Curves/meltCurve_Q9NYU2_2_UGGT1.pdf</t>
  </si>
  <si>
    <t>Melting_Curves/meltCurve_Q9NZ08_ERAP1.pdf</t>
  </si>
  <si>
    <t>Melting_Curves/meltCurve_Q9NZ20_PLA2G3.pdf</t>
  </si>
  <si>
    <t>Melting_Curves/meltCurve_Q9NZJ5_EIF2AK3.pdf</t>
  </si>
  <si>
    <t>Melting_Curves/meltCurve_Q9NZP8_C1RL.pdf</t>
  </si>
  <si>
    <t>Melting_Curves/meltCurve_Q9NZT1_CALML5.pdf</t>
  </si>
  <si>
    <t>Melting_Curves/meltCurve_Q9NZV1_CRIM1.pdf</t>
  </si>
  <si>
    <t>Melting_Curves/meltCurve_Q9NZZ3_2_CHMP5.pdf</t>
  </si>
  <si>
    <t>Melting_Curves/meltCurve_Q9P055_JKAMP.pdf</t>
  </si>
  <si>
    <t>Melting_Curves/meltCurve_Q9P0L0_VAPA.pdf</t>
  </si>
  <si>
    <t>Melting_Curves/meltCurve_Q9P0S2_COX16.pdf</t>
  </si>
  <si>
    <t>Melting_Curves/meltCurve_Q9P1F3_ABRACL.pdf</t>
  </si>
  <si>
    <t>Melting_Curves/meltCurve_Q9P2B2_PTGFRN.pdf</t>
  </si>
  <si>
    <t>Melting_Curves/meltCurve_Q9P2E9_2_RRBP1.pdf</t>
  </si>
  <si>
    <t>Melting_Curves/meltCurve_Q9P2K2_TXNDC16.pdf</t>
  </si>
  <si>
    <t>Melting_Curves/meltCurve_Q9P2X0_DPM3.pdf</t>
  </si>
  <si>
    <t>Melting_Curves/meltCurve_Q9UBI6_GNG12.pdf</t>
  </si>
  <si>
    <t>Melting_Curves/meltCurve_Q9UBR2_CTSZ.pdf</t>
  </si>
  <si>
    <t>Melting_Curves/meltCurve_Q9UBS3_DNAJB9.pdf</t>
  </si>
  <si>
    <t>Melting_Curves/meltCurve_Q9UBX1_CTSF.pdf</t>
  </si>
  <si>
    <t>Melting_Curves/meltCurve_Q9UEL6_MPZL1.pdf</t>
  </si>
  <si>
    <t>Melting_Curves/meltCurve_Q9UHD0_IL19.pdf</t>
  </si>
  <si>
    <t>Melting_Curves/meltCurve_Q9UHD8_3_SEPT9.pdf</t>
  </si>
  <si>
    <t>Melting_Curves/meltCurve_Q9UHG2_PCSK1N.pdf</t>
  </si>
  <si>
    <t>Melting_Curves/meltCurve_Q9UHI8_ADAMTS1.pdf</t>
  </si>
  <si>
    <t>Melting_Curves/meltCurve_Q9UHL4_DPP7.pdf</t>
  </si>
  <si>
    <t>Melting_Curves/meltCurve_Q9UHV9_PFDN2.pdf</t>
  </si>
  <si>
    <t>Melting_Curves/meltCurve_Q9UJJ9_GNPTG.pdf</t>
  </si>
  <si>
    <t>Melting_Curves/meltCurve_Q9UJW0_2_DCTN4.pdf</t>
  </si>
  <si>
    <t>Melting_Curves/meltCurve_Q9UKS6_PACSIN3.pdf</t>
  </si>
  <si>
    <t>Melting_Curves/meltCurve_Q9UKY7_CDV3.pdf</t>
  </si>
  <si>
    <t>Melting_Curves/meltCurve_Q9UL25_RAB21.pdf</t>
  </si>
  <si>
    <t>Melting_Curves/meltCurve_Q9UL26_RAB22A.pdf</t>
  </si>
  <si>
    <t>Melting_Curves/meltCurve_Q9ULC4_MCTS1.pdf</t>
  </si>
  <si>
    <t>Melting_Curves/meltCurve_Q9ULM3_YEATS2.pdf</t>
  </si>
  <si>
    <t>Melting_Curves/meltCurve_Q9ULZ3_2_PYCARD.pdf</t>
  </si>
  <si>
    <t>Melting_Curves/meltCurve_Q9UMX0_2_UBQLN1.pdf</t>
  </si>
  <si>
    <t>Melting_Curves/meltCurve_Q9UMX5_NENF.pdf</t>
  </si>
  <si>
    <t>Melting_Curves/meltCurve_Q9UMY4_2_SNX12.pdf</t>
  </si>
  <si>
    <t>Melting_Curves/meltCurve_Q9UN70_4_PCDHGC3.pdf</t>
  </si>
  <si>
    <t>Melting_Curves/meltCurve_Q9UN76_SLC6A14.pdf</t>
  </si>
  <si>
    <t>Melting_Curves/meltCurve_Q9UNF0_2_PACSIN2.pdf</t>
  </si>
  <si>
    <t>Melting_Curves/meltCurve_Q9UNM6_PSMD13.pdf</t>
  </si>
  <si>
    <t>Melting_Curves/meltCurve_Q9UNQ0_2_ABCG2.pdf</t>
  </si>
  <si>
    <t>Melting_Curves/meltCurve_Q9UNW1_MINPP1.pdf</t>
  </si>
  <si>
    <t>Melting_Curves/meltCurve_Q9UQ80_PA2G4.pdf</t>
  </si>
  <si>
    <t>Melting_Curves/meltCurve_Q9Y266_NUDC.pdf</t>
  </si>
  <si>
    <t>Melting_Curves/meltCurve_Q9Y2A9_B3GNT3.pdf</t>
  </si>
  <si>
    <t>Melting_Curves/meltCurve_Q9Y2B0_CNPY2.pdf</t>
  </si>
  <si>
    <t>Melting_Curves/meltCurve_Q9Y2S2_2_CRYL1.pdf</t>
  </si>
  <si>
    <t>Melting_Curves/meltCurve_Q9Y2V2_CARHSP1.pdf</t>
  </si>
  <si>
    <t>Melting_Curves/meltCurve_Q9Y2Z0_2_SUGT1.pdf</t>
  </si>
  <si>
    <t>Melting_Curves/meltCurve_Q9Y376_CAB39.pdf</t>
  </si>
  <si>
    <t>Melting_Curves/meltCurve_Q9Y3A5_SBDS.pdf</t>
  </si>
  <si>
    <t>Melting_Curves/meltCurve_Q9Y3B3_2_TMED7.pdf</t>
  </si>
  <si>
    <t>Melting_Curves/meltCurve_Q9Y3C8_UFC1.pdf</t>
  </si>
  <si>
    <t>Melting_Curves/meltCurve_Q9Y3D6_FIS1.pdf</t>
  </si>
  <si>
    <t>Melting_Curves/meltCurve_Q9Y3E7_4_CHMP3.pdf</t>
  </si>
  <si>
    <t>Melting_Curves/meltCurve_Q9Y5E5_PCDHB4.pdf</t>
  </si>
  <si>
    <t>Melting_Curves/meltCurve_Q9Y5P6_GMPPB.pdf</t>
  </si>
  <si>
    <t>Melting_Curves/meltCurve_Q9Y5X3_SNX5.pdf</t>
  </si>
  <si>
    <t>Melting_Curves/meltCurve_Q9Y5X9_LIPG.pdf</t>
  </si>
  <si>
    <t>Melting_Curves/meltCurve_Q9Y5Y6_ST14.pdf</t>
  </si>
  <si>
    <t>Melting_Curves/meltCurve_Q9Y5Z4_HEBP2.pdf</t>
  </si>
  <si>
    <t>Melting_Curves/meltCurve_Q9Y617_PSAT1.pdf</t>
  </si>
  <si>
    <t>Melting_Curves/meltCurve_Q9Y646_CPQ.pdf</t>
  </si>
  <si>
    <t>Melting_Curves/meltCurve_Q9Y653_2_GPR56.pdf</t>
  </si>
  <si>
    <t>Melting_Curves/meltCurve_Q9Y678_COPG1.pdf</t>
  </si>
  <si>
    <t>Melting_Curves/meltCurve_Q9Y679_AUP1.pdf</t>
  </si>
  <si>
    <t>Melting_Curves/meltCurve_Q9Y696_CLIC4.pdf</t>
  </si>
  <si>
    <t>Melting_Curves/meltCurve_Q9Y6B6_SAR1B.pdf</t>
  </si>
  <si>
    <t>Melting_Curves/meltCurve_Q9Y6E0_STK24.pdf</t>
  </si>
  <si>
    <t>Melting_Curves/meltCurve_Q9Y6R7_FCGBP.pdf</t>
  </si>
  <si>
    <t>Melting_Curves/meltCurve_Q9Y6X5_ENPP4.pdf</t>
  </si>
  <si>
    <t>Melting_Curves/meltCurve_Q9Y6Y9_LY96.pdf</t>
  </si>
  <si>
    <t>Melting_Curves/meltCurve_R4GMT0_ACTR1A.pdf</t>
  </si>
  <si>
    <t>Melting_Curves/meltCurve_R4GMX0_YTHDF3.pdf</t>
  </si>
  <si>
    <t>Melting_Curves/meltCurve_R4GNF9_TSTD1.pdf</t>
  </si>
  <si>
    <t>Yes</t>
  </si>
  <si>
    <t>No</t>
  </si>
  <si>
    <t>Ubiquitin-like modifier-activating enzyme 6</t>
  </si>
  <si>
    <t>Ig lambda-7 chain C region</t>
  </si>
  <si>
    <t>Shootin-1</t>
  </si>
  <si>
    <t>Stathmin (Fragment)</t>
  </si>
  <si>
    <t>Ribosyldihydronicotinamide dehydrogenase [quinone] (Fragment)</t>
  </si>
  <si>
    <t>Major prion protein (Fragment)</t>
  </si>
  <si>
    <t>Vascular endothelial growth factor A</t>
  </si>
  <si>
    <t>Lipase member H</t>
  </si>
  <si>
    <t>Neuroblastoma suppressor of tumorigenicity 1 (Fragment)</t>
  </si>
  <si>
    <t>3(2),5-bisphosphate nucleotidase 1</t>
  </si>
  <si>
    <t>Spectrin alpha chain, non-erythrocytic 1</t>
  </si>
  <si>
    <t>Putative V-set and immunoglobulin domain-containing-like protein IGHV4OR15-8</t>
  </si>
  <si>
    <t>Ubiquitin carboxyl-terminal hydrolase</t>
  </si>
  <si>
    <t>Eukaryotic translation initiation factor 1A, Y-chromosomal</t>
  </si>
  <si>
    <t>ADP-sugar pyrophosphatase</t>
  </si>
  <si>
    <t>Aminopeptidase B</t>
  </si>
  <si>
    <t>Alpha-endosulfine</t>
  </si>
  <si>
    <t>CD9 antigen</t>
  </si>
  <si>
    <t>26S proteasome non-ATPase regulatory subunit 4 (Fragment)</t>
  </si>
  <si>
    <t>Protein FAM3A (Fragment)</t>
  </si>
  <si>
    <t>Extracellular signal-regulated kinase-2 splice variant</t>
  </si>
  <si>
    <t>Protein FAM3B</t>
  </si>
  <si>
    <t>Serine/threonine-protein phosphatase</t>
  </si>
  <si>
    <t>Protein Hook homolog 1</t>
  </si>
  <si>
    <t>Tubulin alpha-4A chain</t>
  </si>
  <si>
    <t>60S ribosomal protein L7</t>
  </si>
  <si>
    <t>Cysteine--tRNA ligase, cytoplasmic</t>
  </si>
  <si>
    <t>Fructose-bisphosphate aldolase</t>
  </si>
  <si>
    <t>Glutathione S-transferase P</t>
  </si>
  <si>
    <t>Sulfatase-modifying factor 2</t>
  </si>
  <si>
    <t>Protein SEC13 homolog</t>
  </si>
  <si>
    <t>Kinesin light chain 3</t>
  </si>
  <si>
    <t>Serine-threonine kinase receptor-associated protein</t>
  </si>
  <si>
    <t>Coiled-coil domain-containing protein 134</t>
  </si>
  <si>
    <t>Brain-specific angiogenesis inhibitor 1-associated protein 2-like protein 2 (Fragment)</t>
  </si>
  <si>
    <t>Coiled-coil alpha-helical rod protein 1</t>
  </si>
  <si>
    <t>HLA class I histocompatibility antigen, Cw-14 alpha chain</t>
  </si>
  <si>
    <t>Valine--tRNA ligase</t>
  </si>
  <si>
    <t>Proteasome subunit beta type</t>
  </si>
  <si>
    <t>HLA class II histocompatibility antigen, DP beta 1 chain</t>
  </si>
  <si>
    <t>Apolipoprotein C-III</t>
  </si>
  <si>
    <t>Archain 1, isoform CRA_a</t>
  </si>
  <si>
    <t>Vimentin</t>
  </si>
  <si>
    <t>26S proteasome non-ATPase regulatory subunit 10</t>
  </si>
  <si>
    <t>Capping protein (Actin filament) muscle Z-line, beta, isoform CRA_a</t>
  </si>
  <si>
    <t>Rootletin (Fragment)</t>
  </si>
  <si>
    <t>Astrocytic phosphoprotein PEA-15</t>
  </si>
  <si>
    <t>Periostin</t>
  </si>
  <si>
    <t>Trypsin-3 (Fragment)</t>
  </si>
  <si>
    <t>UPF0587 protein C1orf123</t>
  </si>
  <si>
    <t>Mucin-1 subunit alpha</t>
  </si>
  <si>
    <t>BTB/POZ domain-containing protein KCTD14</t>
  </si>
  <si>
    <t>SEC14-like 2 (S. cerevisiae), isoform CRA_c</t>
  </si>
  <si>
    <t>Phospholipid transfer protein</t>
  </si>
  <si>
    <t>Superoxide dismutase</t>
  </si>
  <si>
    <t>Farnesyltransferase, CAAX box, alpha, isoform CRA_c</t>
  </si>
  <si>
    <t>Dihydropteridine reductase</t>
  </si>
  <si>
    <t>Histidine--tRNA ligase, cytoplasmic</t>
  </si>
  <si>
    <t>Drebrin-like protein</t>
  </si>
  <si>
    <t>Spermine synthase</t>
  </si>
  <si>
    <t>Sorting nexin-2</t>
  </si>
  <si>
    <t>T-complex protein 1 subunit theta</t>
  </si>
  <si>
    <t>Myeloid cell surface antigen CD33</t>
  </si>
  <si>
    <t>Gamma-soluble NSF attachment protein</t>
  </si>
  <si>
    <t>Protein-glutamine gamma-glutamyltransferase 2</t>
  </si>
  <si>
    <t>Protein-arginine deiminase type-2</t>
  </si>
  <si>
    <t>Ras-related protein Rab-5A</t>
  </si>
  <si>
    <t>Sorting nexin 6, isoform CRA_e</t>
  </si>
  <si>
    <t>Lipolysis-stimulated lipoprotein receptor</t>
  </si>
  <si>
    <t>Poly(rC)-binding protein 2</t>
  </si>
  <si>
    <t>Stanniocalcin-1</t>
  </si>
  <si>
    <t>S-adenosylmethionine synthase</t>
  </si>
  <si>
    <t>Aminoacylase-1</t>
  </si>
  <si>
    <t>Pulmonary surfactant-associated protein A1</t>
  </si>
  <si>
    <t>Cellular nucleic acid-binding protein</t>
  </si>
  <si>
    <t>Gamma-glutamyltransferase 6 light chain</t>
  </si>
  <si>
    <t>Calcineurin-like phosphoesterase domain-containing protein 1</t>
  </si>
  <si>
    <t>Alpha/beta hydrolase domain-containing protein 14B</t>
  </si>
  <si>
    <t>6-phosphogluconate dehydrogenase, decarboxylating</t>
  </si>
  <si>
    <t>ATP-dependent (S)-NAD(P)H-hydrate dehydratase</t>
  </si>
  <si>
    <t>Histone H2B</t>
  </si>
  <si>
    <t>Synaptobrevin homolog YKT6</t>
  </si>
  <si>
    <t>Probable palmitoyltransferase ZDHHC20</t>
  </si>
  <si>
    <t>Target of Nesh-SH3</t>
  </si>
  <si>
    <t>Annexin</t>
  </si>
  <si>
    <t>S-methyl-5-thioadenosine phosphorylase</t>
  </si>
  <si>
    <t>Eukaryotic translation initiation factor 3 subunit J</t>
  </si>
  <si>
    <t>T-complex protein 1 subunit gamma</t>
  </si>
  <si>
    <t>Bifunctional glutamate/proline--tRNA ligase</t>
  </si>
  <si>
    <t>Pyridoxine-5-phosphate oxidase</t>
  </si>
  <si>
    <t>Pre-B-cell leukemia transcription factor-interacting protein 1</t>
  </si>
  <si>
    <t>Complement factor B</t>
  </si>
  <si>
    <t>Secreted glypican-4</t>
  </si>
  <si>
    <t>Lysosome-associated membrane glycoprotein 2</t>
  </si>
  <si>
    <t>Erythrocyte band 7 integral membrane protein</t>
  </si>
  <si>
    <t>Guanine nucleotide binding protein (G protein), alpha inhibiting activity polypeptide 2, isoform CRA_c</t>
  </si>
  <si>
    <t>SPARC-like protein 1</t>
  </si>
  <si>
    <t>Insulin-like growth factor-binding protein 4</t>
  </si>
  <si>
    <t>Platelet-derived growth factor C, receptor-binding form</t>
  </si>
  <si>
    <t>Adenosine deaminase CECR1</t>
  </si>
  <si>
    <t>Transcobalamin-2</t>
  </si>
  <si>
    <t>D-dopachrome decarboxylase</t>
  </si>
  <si>
    <t>Epithelial cell adhesion molecule</t>
  </si>
  <si>
    <t>Tetraspanin-9</t>
  </si>
  <si>
    <t>Pyrroline-5-carboxylate reductase 3</t>
  </si>
  <si>
    <t>Kinesin-like protein KIF26B</t>
  </si>
  <si>
    <t>Neurotrimin</t>
  </si>
  <si>
    <t>V-type proton ATPase catalytic subunit A</t>
  </si>
  <si>
    <t>Protein disulfide-isomerase A6</t>
  </si>
  <si>
    <t>Delta-aminolevulinic acid dehydratase</t>
  </si>
  <si>
    <t>Deoxyribonuclease-2-alpha</t>
  </si>
  <si>
    <t>Dolichyl-diphosphooligosaccharide--protein glycosyltransferase subunit 1</t>
  </si>
  <si>
    <t>DnaJ homolog subfamily A member 1</t>
  </si>
  <si>
    <t>Sec1 family domain-containing protein 1</t>
  </si>
  <si>
    <t>Junctional adhesion molecule A</t>
  </si>
  <si>
    <t>Acid sphingomyelinase-like phosphodiesterase 3a</t>
  </si>
  <si>
    <t>Eukaryotic peptide chain release factor subunit 1</t>
  </si>
  <si>
    <t>G-protein-coupled receptor family C group 5 member B</t>
  </si>
  <si>
    <t>Fetuin-B</t>
  </si>
  <si>
    <t>CTP synthase 1</t>
  </si>
  <si>
    <t>T-complex protein 1 subunit delta</t>
  </si>
  <si>
    <t>35 kDa inter-alpha-trypsin inhibitor heavy chain H4</t>
  </si>
  <si>
    <t>FAM150A protein</t>
  </si>
  <si>
    <t>Peptidyl-prolyl cis-trans isomerase-like 3</t>
  </si>
  <si>
    <t>60S ribosomal protein L31</t>
  </si>
  <si>
    <t>Thymosin alpha-1</t>
  </si>
  <si>
    <t>Vesicle-associated membrane protein 8</t>
  </si>
  <si>
    <t>Transcription elongation factor B (SIII), polypeptide 2 (18kDa, elongin B), isoform CRA_b</t>
  </si>
  <si>
    <t>Immunoglobulin lambda-like polypeptide 5</t>
  </si>
  <si>
    <t>Protein shisa-5 (Fragment)</t>
  </si>
  <si>
    <t>26S proteasome non-ATPase regulatory subunit 6</t>
  </si>
  <si>
    <t>Protein CutA</t>
  </si>
  <si>
    <t>Cystatin-A</t>
  </si>
  <si>
    <t>Ras-related protein Rab-17 (Fragment)</t>
  </si>
  <si>
    <t>Interleukin-1 receptor accessory protein (Fragment)</t>
  </si>
  <si>
    <t>EH domain-containing protein 1 (Fragment)</t>
  </si>
  <si>
    <t>Solute carrier family 22 member 23</t>
  </si>
  <si>
    <t>Programmed cell death protein 10 (Fragment)</t>
  </si>
  <si>
    <t>Interleukin-1 receptor type 1 (Fragment)</t>
  </si>
  <si>
    <t>Insulin-like growth factor-binding protein 1</t>
  </si>
  <si>
    <t>Protein FAM107B (Fragment)</t>
  </si>
  <si>
    <t>Apolipoprotein B receptor</t>
  </si>
  <si>
    <t>V-type proton ATPase subunit E 1 (Fragment)</t>
  </si>
  <si>
    <t>Retinoic acid receptor responder protein 2 (Fragment)</t>
  </si>
  <si>
    <t>Nicotinate phosphoribosyltransferase</t>
  </si>
  <si>
    <t>GTP-binding protein Rheb</t>
  </si>
  <si>
    <t>40S ribosomal protein SA (Fragment)</t>
  </si>
  <si>
    <t>Ribulose-5-phosphate-3-epimerase, isoform CRA_a</t>
  </si>
  <si>
    <t>LIM and SH3 domain protein 1 (Fragment)</t>
  </si>
  <si>
    <t>Myoferlin</t>
  </si>
  <si>
    <t>Lymphocyte-specific protein 1 (Fragment)</t>
  </si>
  <si>
    <t>Glycoprotein-N-acetylgalactosamine 3-beta-galactosyltransferase 1 (Fragment)</t>
  </si>
  <si>
    <t>Fibrinogen gamma chain</t>
  </si>
  <si>
    <t>Zinc-alpha-2-glycoprotein</t>
  </si>
  <si>
    <t>N-acetyl-D-glucosamine kinase</t>
  </si>
  <si>
    <t>Apolipoprotein D (Fragment)</t>
  </si>
  <si>
    <t>COP9 signalosome complex subunit 1</t>
  </si>
  <si>
    <t>Receptor-type tyrosine-protein phosphatase zeta</t>
  </si>
  <si>
    <t>Ephrin type-A receptor 4 (Fragment)</t>
  </si>
  <si>
    <t>Thymidine phosphorylase (Fragment)</t>
  </si>
  <si>
    <t>Quinone oxidoreductase (Fragment)</t>
  </si>
  <si>
    <t>Activin receptor type-1 (Fragment)</t>
  </si>
  <si>
    <t>MAWD binding protein, isoform CRA_a</t>
  </si>
  <si>
    <t>Pulmonary surfactant-associated protein A2</t>
  </si>
  <si>
    <t>Cysteine synthase (Fragment)</t>
  </si>
  <si>
    <t>Protein TFG (Fragment)</t>
  </si>
  <si>
    <t>Interferon alpha/beta receptor 1</t>
  </si>
  <si>
    <t>Dyslexia-associated protein KIAA0319-like protein (Fragment)</t>
  </si>
  <si>
    <t>60S ribosomal protein L24</t>
  </si>
  <si>
    <t>Neuronal cell adhesion molecule</t>
  </si>
  <si>
    <t>Butyrophilin subfamily 3 member A3</t>
  </si>
  <si>
    <t>GTP:AMP phosphotransferase AK4, mitochondrial</t>
  </si>
  <si>
    <t>Epsin-3</t>
  </si>
  <si>
    <t>Coatomer subunit beta (Fragment)</t>
  </si>
  <si>
    <t>40S ribosomal protein S3a</t>
  </si>
  <si>
    <t>Mitochondrial sodium/hydrogen exchanger 9B2</t>
  </si>
  <si>
    <t>N-acylethanolamine-hydrolyzing acid amidase</t>
  </si>
  <si>
    <t>Enolase-phosphatase E1</t>
  </si>
  <si>
    <t>COP9 signalosome complex subunit 4</t>
  </si>
  <si>
    <t>Vesicular integral-membrane protein VIP36</t>
  </si>
  <si>
    <t>Eukaryotic translation initiation factor 4E</t>
  </si>
  <si>
    <t>C-C motif chemokine 28</t>
  </si>
  <si>
    <t>40S ribosomal protein S23</t>
  </si>
  <si>
    <t>Heterogeneous nuclear ribonucleoprotein D0 (Fragment)</t>
  </si>
  <si>
    <t>Ubiquitin-conjugating enzyme E2 K (Fragment)</t>
  </si>
  <si>
    <t>Septin-11 (Fragment)</t>
  </si>
  <si>
    <t>Polyadenylate-binding protein-interacting protein 1</t>
  </si>
  <si>
    <t>Alpha-L-iduronidase</t>
  </si>
  <si>
    <t>Protein FAM153A (Fragment)</t>
  </si>
  <si>
    <t>Selenoprotein P (Fragment)</t>
  </si>
  <si>
    <t>Phosphoribosylaminoimidazole carboxylase</t>
  </si>
  <si>
    <t>Cytochrome b5 type B</t>
  </si>
  <si>
    <t>Twinfilin-2</t>
  </si>
  <si>
    <t>ATP-binding cassette sub-family E member 1 (Fragment)</t>
  </si>
  <si>
    <t>Interleukin-7 receptor subunit alpha</t>
  </si>
  <si>
    <t>Ribonuclease T2 (Fragment)</t>
  </si>
  <si>
    <t>Hydroxymethylglutaryl-CoA synthase, cytoplasmic (Fragment)</t>
  </si>
  <si>
    <t>Adenosylhomocysteinase</t>
  </si>
  <si>
    <t>Uncharacterized protein C1orf198</t>
  </si>
  <si>
    <t>Casein kinase I isoform alpha</t>
  </si>
  <si>
    <t>Acyl-protein thioesterase 1 (Fragment)</t>
  </si>
  <si>
    <t>Prefoldin subunit 1</t>
  </si>
  <si>
    <t>Neurocalcin-delta (Fragment)</t>
  </si>
  <si>
    <t>Oxidation resistance protein 1 (Fragment)</t>
  </si>
  <si>
    <t>Dynactin subunit 6</t>
  </si>
  <si>
    <t>Eukaryotic translation initiation factor 3 subunit E (Fragment)</t>
  </si>
  <si>
    <t>Tubulin-specific chaperone A</t>
  </si>
  <si>
    <t>Syndecan-2 (Fragment)</t>
  </si>
  <si>
    <t>RWD domain-containing protein 1 (Fragment)</t>
  </si>
  <si>
    <t>S-phase kinase-associated protein 1</t>
  </si>
  <si>
    <t>Protein LYRIC</t>
  </si>
  <si>
    <t>Collagen triple helix repeat-containing protein 1</t>
  </si>
  <si>
    <t>COP9 signalosome complex subunit 6</t>
  </si>
  <si>
    <t>Switch-associated protein 70</t>
  </si>
  <si>
    <t>Aspartyl aminopeptidase</t>
  </si>
  <si>
    <t>Protein diaphanous homolog 1</t>
  </si>
  <si>
    <t>Vitamin K-dependent protein C heavy chain</t>
  </si>
  <si>
    <t>Nesprin-1</t>
  </si>
  <si>
    <t>T-complex protein 1 subunit epsilon</t>
  </si>
  <si>
    <t>60S ribosomal protein L14</t>
  </si>
  <si>
    <t>Target of Myb protein 1</t>
  </si>
  <si>
    <t>Protein YIPF3</t>
  </si>
  <si>
    <t>Ribosomal protein L15 (Fragment)</t>
  </si>
  <si>
    <t>Peroxisomal multifunctional enzyme type 2</t>
  </si>
  <si>
    <t>Acid ceramidase</t>
  </si>
  <si>
    <t>Thrombospondin-4</t>
  </si>
  <si>
    <t>Procollagen-lysine,2-oxoglutarate 5-dioxygenase 2</t>
  </si>
  <si>
    <t>Calmodulin</t>
  </si>
  <si>
    <t>Platelet glycoprotein 4 (Fragment)</t>
  </si>
  <si>
    <t>Fibroblast growth factor receptor</t>
  </si>
  <si>
    <t>Rab GDP dissociation inhibitor beta</t>
  </si>
  <si>
    <t>Gamma-glutamyltransferase 5 heavy chain</t>
  </si>
  <si>
    <t>Sperm-specific antigen 2</t>
  </si>
  <si>
    <t>Latent-transforming growth factor beta-binding protein 4</t>
  </si>
  <si>
    <t>Bifunctional heparan sulfate N-deacetylase/N-sulfotransferase 1</t>
  </si>
  <si>
    <t>Glucosamine-6-phosphate isomerase 1</t>
  </si>
  <si>
    <t>Unconventional myosin-VI</t>
  </si>
  <si>
    <t>Ubiquitin-like modifier-activating enzyme 5</t>
  </si>
  <si>
    <t>Eukaryotic translation initiation factor 4B</t>
  </si>
  <si>
    <t>Protein kinase C-binding protein NELL1</t>
  </si>
  <si>
    <t>Eukaryotic translation initiation factor 4 gamma 1</t>
  </si>
  <si>
    <t>Dynactin subunit 1</t>
  </si>
  <si>
    <t>NIF3-like protein 1 (Fragment)</t>
  </si>
  <si>
    <t>Properdin</t>
  </si>
  <si>
    <t>THO complex subunit 4</t>
  </si>
  <si>
    <t>Mucin-5B</t>
  </si>
  <si>
    <t>Phosphoribosylaminoimidazolecarboxamide formyltransferase</t>
  </si>
  <si>
    <t>Translation initiation factor eIF-2B subunit epsilon</t>
  </si>
  <si>
    <t>Epididymis-specific alpha-mannosidase</t>
  </si>
  <si>
    <t>Beta-glucuronidase</t>
  </si>
  <si>
    <t>Malate dehydrogenase, mitochondrial</t>
  </si>
  <si>
    <t>Alpha-S1-casein</t>
  </si>
  <si>
    <t>Mucin-4 beta chain</t>
  </si>
  <si>
    <t>Semaphorin-4D</t>
  </si>
  <si>
    <t>Glutathione S-transferase kappa 1</t>
  </si>
  <si>
    <t>Ceruloplasmin</t>
  </si>
  <si>
    <t>Plasma protease C1 inhibitor</t>
  </si>
  <si>
    <t>Translin</t>
  </si>
  <si>
    <t>Thioredoxin-dependent peroxide reductase, mitochondrial</t>
  </si>
  <si>
    <t>Mucin-20</t>
  </si>
  <si>
    <t>Cytoplasmic dynein 1 light intermediate chain 1</t>
  </si>
  <si>
    <t>Tetranectin</t>
  </si>
  <si>
    <t>Oxidoreductase HTATIP2</t>
  </si>
  <si>
    <t>Serine-protein kinase ATM (Fragment)</t>
  </si>
  <si>
    <t>Thioredoxin reductase 1, cytoplasmic</t>
  </si>
  <si>
    <t>UBX domain-containing protein 1 (Fragment)</t>
  </si>
  <si>
    <t>60S ribosomal protein L27a</t>
  </si>
  <si>
    <t>CD81 antigen</t>
  </si>
  <si>
    <t>Mth938 domain-containing protein</t>
  </si>
  <si>
    <t>Elongation factor 1-delta (Fragment)</t>
  </si>
  <si>
    <t>Phosphorylase</t>
  </si>
  <si>
    <t>Phosphatidylinositol-binding clathrin assembly protein (Fragment)</t>
  </si>
  <si>
    <t>60S ribosomal protein L8 (Fragment)</t>
  </si>
  <si>
    <t>Transcription factor BTF3 homolog 4</t>
  </si>
  <si>
    <t>Hypoxia up-regulated protein 1</t>
  </si>
  <si>
    <t>Pleckstrin homology domain-containing family A member 7 (Fragment)</t>
  </si>
  <si>
    <t>Importin-7 (Fragment)</t>
  </si>
  <si>
    <t>Puromycin-sensitive aminopeptidase</t>
  </si>
  <si>
    <t>26S protease regulatory subunit 6A</t>
  </si>
  <si>
    <t>Serine/threonine-protein phosphatase (Fragment)</t>
  </si>
  <si>
    <t>Caspase-4 subunit 1 (Fragment)</t>
  </si>
  <si>
    <t>Protein tyrosine phosphatase type IVA 2 (Fragment)</t>
  </si>
  <si>
    <t>Galactosylgalactosylxylosylprotein 3-beta-glucuronosyltransferase 3 (Fragment)</t>
  </si>
  <si>
    <t>Tumor protein D53</t>
  </si>
  <si>
    <t>CD59 glycoprotein</t>
  </si>
  <si>
    <t>Uncharacterized protein</t>
  </si>
  <si>
    <t>Midkine (Fragment)</t>
  </si>
  <si>
    <t>Charged multivesicular body protein 4a</t>
  </si>
  <si>
    <t>Prefoldin subunit 4</t>
  </si>
  <si>
    <t>40S ribosomal protein S30</t>
  </si>
  <si>
    <t>Serine protease 23 (Fragment)</t>
  </si>
  <si>
    <t>Myosin-14</t>
  </si>
  <si>
    <t>Transaldolase</t>
  </si>
  <si>
    <t>Serine/threonine-protein kinase WNK1</t>
  </si>
  <si>
    <t>Podocalyxin</t>
  </si>
  <si>
    <t>Mannose-6-phosphate isomerase</t>
  </si>
  <si>
    <t>Tripartite motif-containing protein 3</t>
  </si>
  <si>
    <t>Trafficking protein particle complex subunit 13</t>
  </si>
  <si>
    <t>Receptor-type tyrosine-protein phosphatase kappa</t>
  </si>
  <si>
    <t>BRO1 domain-containing protein BROX</t>
  </si>
  <si>
    <t>SPARC (Fragment)</t>
  </si>
  <si>
    <t>PCTP-like protein (Fragment)</t>
  </si>
  <si>
    <t>Polypeptide N-acetylgalactosaminyltransferase 1 soluble form</t>
  </si>
  <si>
    <t>Allograft inflammatory factor 1-like</t>
  </si>
  <si>
    <t>Ubiquitin thioesterase OTUB1</t>
  </si>
  <si>
    <t>SH3 domain-containing YSC84-like protein 1</t>
  </si>
  <si>
    <t>Transmembrane channel-like protein 5</t>
  </si>
  <si>
    <t>Methylmalonyl-CoA epimerase, mitochondrial (Fragment)</t>
  </si>
  <si>
    <t>Parathyroid hormone-related protein (Fragment)</t>
  </si>
  <si>
    <t>4F2 cell-surface antigen heavy chain</t>
  </si>
  <si>
    <t>Heterogeneous nuclear ribonucleoprotein H</t>
  </si>
  <si>
    <t>Gamma-aminobutyric acid receptor-associated protein-like 1 (Fragment)</t>
  </si>
  <si>
    <t>Tumor protein D52</t>
  </si>
  <si>
    <t>Myosin-IIIa</t>
  </si>
  <si>
    <t>PDZ and LIM domain protein 5</t>
  </si>
  <si>
    <t>Ras-related protein Rab-35 (Fragment)</t>
  </si>
  <si>
    <t>Mevalonate kinase</t>
  </si>
  <si>
    <t>26S proteasome non-ATPase regulatory subunit 9</t>
  </si>
  <si>
    <t>Malectin (Fragment)</t>
  </si>
  <si>
    <t>CAP-Gly domain-containing linker protein 1</t>
  </si>
  <si>
    <t>Glucosylceramidase</t>
  </si>
  <si>
    <t>Prefoldin subunit 3</t>
  </si>
  <si>
    <t>C-1-tetrahydrofolate synthase, cytoplasmic</t>
  </si>
  <si>
    <t>Dynactin subunit 2</t>
  </si>
  <si>
    <t>Eukaryotic translation initiation factor 3 subunit A</t>
  </si>
  <si>
    <t>ADP-ribosylation factor-like protein 6-interacting protein 4 (Fragment)</t>
  </si>
  <si>
    <t>Rho GDP-dissociation inhibitor 2 (Fragment)</t>
  </si>
  <si>
    <t>Serine/threonine-protein phosphatase 2A 65 kDa regulatory subunit A alpha isoform</t>
  </si>
  <si>
    <t>Tumor susceptibility gene 101 protein</t>
  </si>
  <si>
    <t>Vacuolar protein sorting-associated protein 26A</t>
  </si>
  <si>
    <t>Cancer susceptibility candidate protein 1</t>
  </si>
  <si>
    <t>Scavenger receptor class B member 1 (Fragment)</t>
  </si>
  <si>
    <t>Activin receptor type-1B (Fragment)</t>
  </si>
  <si>
    <t>Carboxylesterase 4A</t>
  </si>
  <si>
    <t>Translocon-associated protein subunit alpha</t>
  </si>
  <si>
    <t>Unconventional myosin-Ic</t>
  </si>
  <si>
    <t>Beta-2-microglobulin form pI 5.3</t>
  </si>
  <si>
    <t>Tumor necrosis factor receptor superfamily member 1A, membrane form (Fragment)</t>
  </si>
  <si>
    <t>Repulsive guidance molecule A</t>
  </si>
  <si>
    <t>Lactadherin short form</t>
  </si>
  <si>
    <t>Parathymosin (Fragment)</t>
  </si>
  <si>
    <t>Tropomyosin alpha-1 chain</t>
  </si>
  <si>
    <t>Ras GTPase-activating-like protein IQGAP2</t>
  </si>
  <si>
    <t>Nardilysin</t>
  </si>
  <si>
    <t>Protein O-linked-mannose beta-1,2-N-acetylglucosaminyltransferase 1</t>
  </si>
  <si>
    <t>Kunitz-type protease inhibitor 1</t>
  </si>
  <si>
    <t>Transmembrane glycoprotein NMB</t>
  </si>
  <si>
    <t>Calcineurin subunit B type 1</t>
  </si>
  <si>
    <t>Tumor necrosis factor receptor superfamily member 14 (Fragment)</t>
  </si>
  <si>
    <t>Heterogeneous nuclear ribonucleoprotein Q (Fragment)</t>
  </si>
  <si>
    <t>60S acidic ribosomal protein P0 (Fragment)</t>
  </si>
  <si>
    <t>Methyltransferase-like protein 7A (Fragment)</t>
  </si>
  <si>
    <t>Nucleosome assembly protein 1-like 1 (Fragment)</t>
  </si>
  <si>
    <t>Methionine aminopeptidase</t>
  </si>
  <si>
    <t>Rap guanine nucleotide exchange factor 3</t>
  </si>
  <si>
    <t>NEDD8</t>
  </si>
  <si>
    <t>5-AMP-activated protein kinase subunit gamma-1 (Fragment)</t>
  </si>
  <si>
    <t>Peptidyl-prolyl cis-trans isomerase</t>
  </si>
  <si>
    <t>Protein POC1B-GALNT4</t>
  </si>
  <si>
    <t>Mucin-like protein 1</t>
  </si>
  <si>
    <t>Density-regulated protein</t>
  </si>
  <si>
    <t>Amiloride-sensitive sodium channel subunit delta</t>
  </si>
  <si>
    <t>Zinc finger protein 36, C3H1 type-like 1 (Fragment)</t>
  </si>
  <si>
    <t>Vacuolar protein sorting-associated protein 29</t>
  </si>
  <si>
    <t>Insulin-like growth factor-binding protein 6</t>
  </si>
  <si>
    <t>Serine dehydratase-like (Fragment)</t>
  </si>
  <si>
    <t>Nascent polypeptide-associated complex subunit alpha</t>
  </si>
  <si>
    <t>Keratin, type I cytoskeletal 18</t>
  </si>
  <si>
    <t>60S ribosomal protein L6 (Fragment)</t>
  </si>
  <si>
    <t>Biotinidase</t>
  </si>
  <si>
    <t>Myosin light polypeptide 6</t>
  </si>
  <si>
    <t>Golgi integral membrane protein 4</t>
  </si>
  <si>
    <t>Molybdopterin molybdenumtransferase</t>
  </si>
  <si>
    <t>Fibulin-1</t>
  </si>
  <si>
    <t>Plastin-3</t>
  </si>
  <si>
    <t>Cytoplasmic dynein 1 intermediate chain 2</t>
  </si>
  <si>
    <t>Acetyl-CoA carboxylase 2</t>
  </si>
  <si>
    <t>Reticulon-4</t>
  </si>
  <si>
    <t>Serpin B4</t>
  </si>
  <si>
    <t>Syntaxin-3</t>
  </si>
  <si>
    <t>Aldose 1-epimerase</t>
  </si>
  <si>
    <t>Disintegrin and metalloproteinase domain-containing protein 9</t>
  </si>
  <si>
    <t>Actin-related protein 2/3 complex subunit 4</t>
  </si>
  <si>
    <t>Phosphatidylinositide phosphatase SAC1</t>
  </si>
  <si>
    <t>LanC-like protein 1</t>
  </si>
  <si>
    <t>Deleted in malignant brain tumors 1 protein</t>
  </si>
  <si>
    <t>NAD-dependent protein deacetylase sirtuin-2</t>
  </si>
  <si>
    <t>Clathrin light chain A</t>
  </si>
  <si>
    <t>Endophilin-B2</t>
  </si>
  <si>
    <t>Transferrin receptor (P90, CD71), isoform CRA_c</t>
  </si>
  <si>
    <t>Putative uncharacterized protein MGC45438</t>
  </si>
  <si>
    <t>Ubiquitin-conjugating enzyme E2 variant 2</t>
  </si>
  <si>
    <t>Cofilin 1 (Non-muscle), isoform CRA_a</t>
  </si>
  <si>
    <t>Interleukin 18 binding protein, isoform CRA_a</t>
  </si>
  <si>
    <t>Dipeptidyl peptidase 3</t>
  </si>
  <si>
    <t>Transmembrane emp24 domain-containing protein 3</t>
  </si>
  <si>
    <t>Thioredoxin-like 1, isoform CRA_b</t>
  </si>
  <si>
    <t>60S ribosomal protein L18</t>
  </si>
  <si>
    <t>Adenylate kinase 2, isoform CRA_a</t>
  </si>
  <si>
    <t>HCG2044781</t>
  </si>
  <si>
    <t>Retinol dehydrogenase 11 (Fragment)</t>
  </si>
  <si>
    <t>Protein Z-dependent protease inhibitor</t>
  </si>
  <si>
    <t>E2F-associated phosphoprotein (Fragment)</t>
  </si>
  <si>
    <t>SKI family transcriptional corepressor 1</t>
  </si>
  <si>
    <t>Protein FAM177A1 (Fragment)</t>
  </si>
  <si>
    <t>Fibulin-5</t>
  </si>
  <si>
    <t>Latent-transforming growth factor beta-binding protein 2</t>
  </si>
  <si>
    <t>Protein NDRG2</t>
  </si>
  <si>
    <t>Glucosamine 6-phosphate N-acetyltransferase</t>
  </si>
  <si>
    <t>Alpha-1-antichymotrypsin</t>
  </si>
  <si>
    <t>Proteasome subunit alpha type</t>
  </si>
  <si>
    <t>Tetratricopeptide repeat domain 17, isoform CRA_c</t>
  </si>
  <si>
    <t>Extracellular sulfatase Sulf-2</t>
  </si>
  <si>
    <t>Laminin subunit beta-1</t>
  </si>
  <si>
    <t>Hepatocyte growth factor-like protein alpha chain</t>
  </si>
  <si>
    <t>Complement factor I light chain</t>
  </si>
  <si>
    <t>Protein S (Alpha), isoform CRA_b</t>
  </si>
  <si>
    <t>Glycogenin 1, isoform CRA_e</t>
  </si>
  <si>
    <t>Syndecan binding protein (Syntenin), isoform CRA_a</t>
  </si>
  <si>
    <t>Protein disulfide isomerase family A, member 3, isoform CRA_b</t>
  </si>
  <si>
    <t>Apolipoprotein L1</t>
  </si>
  <si>
    <t>Transforming growth factor-beta-induced protein ig-h3</t>
  </si>
  <si>
    <t>Melanoma inhibitory activity protein 3</t>
  </si>
  <si>
    <t>Ectonucleoside triphosphate diphosphohydrolase 6 (Fragment)</t>
  </si>
  <si>
    <t>Thyroid adenoma-associated protein (Fragment)</t>
  </si>
  <si>
    <t>Nuclease-sensitive element-binding protein 1 (Fragment)</t>
  </si>
  <si>
    <t>CD99 antigen-like protein 2 (Fragment)</t>
  </si>
  <si>
    <t>Peptidyl-prolyl cis-trans isomerase NIMA-interacting 4 (Fragment)</t>
  </si>
  <si>
    <t>Low affinity immunoglobulin gamma Fc region receptor III-B (Fragment)</t>
  </si>
  <si>
    <t>Proteasome inhibitor PI31 subunit (Fragment)</t>
  </si>
  <si>
    <t>Prostaglandin-H2 D-isomerase (Fragment)</t>
  </si>
  <si>
    <t>Ubiquitin-fold modifier 1 (Fragment)</t>
  </si>
  <si>
    <t>Short/branched chain-specific acyl-CoA dehydrogenase, mitochondrial (Fragment)</t>
  </si>
  <si>
    <t>Zinc finger protein basonuclin-2 (Fragment)</t>
  </si>
  <si>
    <t>Renin receptor (Fragment)</t>
  </si>
  <si>
    <t>DNA-directed RNA polymerase I subunit RPA34 (Fragment)</t>
  </si>
  <si>
    <t>Plasma membrane calcium-transporting ATPase 4 (Fragment)</t>
  </si>
  <si>
    <t>Alpha-S1-casein (Fragment)</t>
  </si>
  <si>
    <t>2-deoxynucleoside 5-phosphate N-hydrolase 1 (Fragment)</t>
  </si>
  <si>
    <t>Pterin-4-alpha-carbinolamine dehydratase 2 (Fragment)</t>
  </si>
  <si>
    <t>Plasma kallikrein heavy chain (Fragment)</t>
  </si>
  <si>
    <t>Retinol-binding protein 1 (Fragment)</t>
  </si>
  <si>
    <t>Lysyl oxidase homolog 2 (Fragment)</t>
  </si>
  <si>
    <t>Stanniocalcin-2 (Fragment)</t>
  </si>
  <si>
    <t>HLA class II histocompatibility antigen gamma chain (Fragment)</t>
  </si>
  <si>
    <t>Latent-transforming growth factor beta-binding protein 3 (Fragment)</t>
  </si>
  <si>
    <t>CD44 antigen (Fragment)</t>
  </si>
  <si>
    <t>Eukaryotic translation initiation factor 3 subunit F (Fragment)</t>
  </si>
  <si>
    <t>40S ribosomal protein S2 (Fragment)</t>
  </si>
  <si>
    <t>Sphingomyelin phosphodiesterase (Fragment)</t>
  </si>
  <si>
    <t>Cysteine-rich protein 2 (Fragment)</t>
  </si>
  <si>
    <t>GTP-binding nuclear protein Ran (Fragment)</t>
  </si>
  <si>
    <t>Glycolipid transfer protein (Fragment)</t>
  </si>
  <si>
    <t>Ras-related protein Rab-6A (Fragment)</t>
  </si>
  <si>
    <t>Endoplasmic reticulum mannosyl-oligosaccharide 1,2-alpha-mannosidase (Fragment)</t>
  </si>
  <si>
    <t>Protein DDI1 homolog 2 (Fragment)</t>
  </si>
  <si>
    <t>Fermitin family homolog 2 (Fragment)</t>
  </si>
  <si>
    <t>Activator of 90 kDa heat shock protein ATPase homolog 1 (Fragment)</t>
  </si>
  <si>
    <t>Eukaryotic translation initiation factor 2 subunit 1 (Fragment)</t>
  </si>
  <si>
    <t>Serine palmitoyltransferase 2 (Fragment)</t>
  </si>
  <si>
    <t>Nidogen-2 (Fragment)</t>
  </si>
  <si>
    <t>Sorting nexin-1</t>
  </si>
  <si>
    <t>Tropomodulin-3 (Fragment)</t>
  </si>
  <si>
    <t>Cyclin-dependent kinase 2-interacting protein</t>
  </si>
  <si>
    <t>Signal recognition particle 14 kDa protein</t>
  </si>
  <si>
    <t>Proprotein convertase subtilisin/kexin type 6 (Fragment)</t>
  </si>
  <si>
    <t>Calcineurin B homologous protein 1 (Fragment)</t>
  </si>
  <si>
    <t>COP9 signalosome complex subunit 2 (Fragment)</t>
  </si>
  <si>
    <t>Proteasome activator complex subunit 2</t>
  </si>
  <si>
    <t>Regulator of microtubule dynamics protein 3 (Fragment)</t>
  </si>
  <si>
    <t>GMP reductase 2</t>
  </si>
  <si>
    <t>Annexin (Fragment)</t>
  </si>
  <si>
    <t>Proteasome subunit alpha type-4</t>
  </si>
  <si>
    <t>Acidic leucine-rich nuclear phosphoprotein 32 family member A</t>
  </si>
  <si>
    <t>CD276 antigen (Fragment)</t>
  </si>
  <si>
    <t>40S ribosomal protein S17 (Fragment)</t>
  </si>
  <si>
    <t>Proteasome activator complex subunit 1</t>
  </si>
  <si>
    <t>Ras-related protein Rab-8B (Fragment)</t>
  </si>
  <si>
    <t>Uncharacterized protein KIAA1109 (Fragment)</t>
  </si>
  <si>
    <t>Aflatoxin B1 aldehyde reductase member 2 (Fragment)</t>
  </si>
  <si>
    <t>Tumor necrosis factor receptor superfamily member 17 (Fragment)</t>
  </si>
  <si>
    <t>JmjC domain-containing protein 8</t>
  </si>
  <si>
    <t>Prefoldin subunit 5</t>
  </si>
  <si>
    <t>Hematological and neurological-expressed 1-like protein (Fragment)</t>
  </si>
  <si>
    <t>Fizzy-related protein homolog</t>
  </si>
  <si>
    <t>Anamorsin</t>
  </si>
  <si>
    <t>Hydroxyacylglutathione hydrolase, mitochondrial (Fragment)</t>
  </si>
  <si>
    <t>cAMP-regulated phosphoprotein 19</t>
  </si>
  <si>
    <t>Neuroplastin (Fragment)</t>
  </si>
  <si>
    <t>Adenine phosphoribosyltransferase (Fragment)</t>
  </si>
  <si>
    <t>Eukaryotic translation initiation factor 3 subunit C</t>
  </si>
  <si>
    <t>Beta-hexosaminidase</t>
  </si>
  <si>
    <t>Leucine-rich repeat-containing protein 57 (Fragment)</t>
  </si>
  <si>
    <t>Hyaluronan and proteoglycan link protein 3</t>
  </si>
  <si>
    <t>Calponin-2 (Fragment)</t>
  </si>
  <si>
    <t>Carboxylesterase 3</t>
  </si>
  <si>
    <t>Secretory carrier-associated membrane protein 2 (Fragment)</t>
  </si>
  <si>
    <t>Phosphomannomutase 2</t>
  </si>
  <si>
    <t>40S ribosomal protein S15a (Fragment)</t>
  </si>
  <si>
    <t>Protein transport protein Sec31A</t>
  </si>
  <si>
    <t>Sorbin and SH3 domain-containing protein 2 (Fragment)</t>
  </si>
  <si>
    <t>60S ribosomal protein L23a (Fragment)</t>
  </si>
  <si>
    <t>Protein-L-isoaspartate O-methyltransferase</t>
  </si>
  <si>
    <t>Thioredoxin (Fragment)</t>
  </si>
  <si>
    <t>S-formylglutathione hydrolase (Fragment)</t>
  </si>
  <si>
    <t>1-acylglycerol-3-phosphate O-acyltransferase ABHD5 (Fragment)</t>
  </si>
  <si>
    <t>Tetratricopeptide repeat protein 38 (Fragment)</t>
  </si>
  <si>
    <t>60S ribosomal protein L10 (Fragment)</t>
  </si>
  <si>
    <t>3-ketoacyl-CoA thiolase, peroxisomal (Fragment)</t>
  </si>
  <si>
    <t>Coatomer subunit gamma-2 (Fragment)</t>
  </si>
  <si>
    <t>Acylamino-acid-releasing enzyme (Fragment)</t>
  </si>
  <si>
    <t>Major facilitator superfamily domain-containing protein 6 (Fragment)</t>
  </si>
  <si>
    <t>Integrin-linked kinase-associated serine/threonine phosphatase 2C (Fragment)</t>
  </si>
  <si>
    <t>Procollagen-lysine,2-oxoglutarate 5-dioxygenase 3 (Fragment)</t>
  </si>
  <si>
    <t>Tax1-binding protein 1 (Fragment)</t>
  </si>
  <si>
    <t>Glucosamine (N-acetyl)-6-sulfatase (Sanfilippo disease IIID), isoform CRA_b</t>
  </si>
  <si>
    <t>Ras-related protein Ral-A (Fragment)</t>
  </si>
  <si>
    <t>Beta-galactoside alpha-2,6-sialyltransferase 1 (Fragment)</t>
  </si>
  <si>
    <t>Probable G-protein-coupled receptor 110 (Fragment)</t>
  </si>
  <si>
    <t>Neutrophil gelatinase-associated lipocalin</t>
  </si>
  <si>
    <t>ATP-dependent RNA helicase DDX19A</t>
  </si>
  <si>
    <t>Vesicle-fusing ATPase</t>
  </si>
  <si>
    <t>Sex hormone-binding globulin</t>
  </si>
  <si>
    <t>Cadherin-5</t>
  </si>
  <si>
    <t>Hepatocyte growth factor-regulated tyrosine kinase substrate (Fragment)</t>
  </si>
  <si>
    <t>TOM1-like protein 1 (Fragment)</t>
  </si>
  <si>
    <t>Ketosamine-3-kinase (Fragment)</t>
  </si>
  <si>
    <t>Eukaryotic translation initiation factor 5A-1 (Fragment)</t>
  </si>
  <si>
    <t>Phosphatidylinositol transfer protein alpha isoform (Fragment)</t>
  </si>
  <si>
    <t>Brain-specific angiogenesis inhibitor 1-associated protein 2</t>
  </si>
  <si>
    <t>Fatty acid-binding protein, epidermal</t>
  </si>
  <si>
    <t>40S ribosomal protein S13</t>
  </si>
  <si>
    <t>Epididymal secretory protein E1</t>
  </si>
  <si>
    <t>Low-density lipoprotein receptor (Fragment)</t>
  </si>
  <si>
    <t>Matrilin-2</t>
  </si>
  <si>
    <t>Proteasome-associated protein ECM29 homolog</t>
  </si>
  <si>
    <t>Nodal modulator 3</t>
  </si>
  <si>
    <t>Semaphorin-4B</t>
  </si>
  <si>
    <t>Fascin</t>
  </si>
  <si>
    <t>Uncharacterized protein KIAA1551 (Fragment)</t>
  </si>
  <si>
    <t>Calcium-independent phospholipase A2-gamma</t>
  </si>
  <si>
    <t>Obg-like ATPase 1</t>
  </si>
  <si>
    <t>Trans-Golgi network integral membrane protein 2</t>
  </si>
  <si>
    <t>HLA class II histocompatibility antigen, DP alpha 1 chain (Fragment)</t>
  </si>
  <si>
    <t>Atrial natriuretic peptide-converting enzyme, 180 kDa soluble fragment</t>
  </si>
  <si>
    <t>Beta-Ala-His dipeptidase</t>
  </si>
  <si>
    <t>Hematological and neurological-expressed 1 protein (Fragment)</t>
  </si>
  <si>
    <t>Protein phosphatase 1 regulatory subunit 1B (Fragment)</t>
  </si>
  <si>
    <t>Secernin-2</t>
  </si>
  <si>
    <t>Rho GDP-dissociation inhibitor 1 (Fragment)</t>
  </si>
  <si>
    <t>Migration and invasion enhancer 1</t>
  </si>
  <si>
    <t>Myosin regulatory light chain 12A (Fragment)</t>
  </si>
  <si>
    <t>NSFL1 cofactor p47</t>
  </si>
  <si>
    <t>Trafficking protein particle complex subunit 8 (Fragment)</t>
  </si>
  <si>
    <t>Clusterin</t>
  </si>
  <si>
    <t>Mitochondrial enolase superfamily member 1</t>
  </si>
  <si>
    <t>Dynein heavy chain 9, axonemal (Fragment)</t>
  </si>
  <si>
    <t>60S ribosomal protein L17 (Fragment)</t>
  </si>
  <si>
    <t>Twisted gastrulation protein homolog 1</t>
  </si>
  <si>
    <t>L-xylulose reductase (Fragment)</t>
  </si>
  <si>
    <t>60S ribosomal protein L13 (Fragment)</t>
  </si>
  <si>
    <t>Phosphatidylcholine-sterol acyltransferase (Fragment)</t>
  </si>
  <si>
    <t>G-protein-coupled receptor family C group 5 member C</t>
  </si>
  <si>
    <t>WW domain-binding protein 2 (Fragment)</t>
  </si>
  <si>
    <t>Unconventional myosin-Vb (Fragment)</t>
  </si>
  <si>
    <t>26S proteasome non-ATPase regulatory subunit 8 (Fragment)</t>
  </si>
  <si>
    <t>60S ribosomal protein L22 (Fragment)</t>
  </si>
  <si>
    <t>Signal transducer and activator of transcription 5A</t>
  </si>
  <si>
    <t>Polypyrimidine tract-binding protein 1 (Fragment)</t>
  </si>
  <si>
    <t>Vacuolar protein-sorting-associated protein 25 (Fragment)</t>
  </si>
  <si>
    <t>Guanine nucleotide-binding protein subunit alpha-11 (Fragment)</t>
  </si>
  <si>
    <t>Hsp90 co-chaperone Cdc37 (Fragment)</t>
  </si>
  <si>
    <t>Kinesin light chain 3 (Fragment)</t>
  </si>
  <si>
    <t>Glucosidase 2 subunit beta</t>
  </si>
  <si>
    <t>Katanin p60 ATPase-containing subunit A-like 2 (Fragment)</t>
  </si>
  <si>
    <t>Eukaryotic translation initiation factor 1</t>
  </si>
  <si>
    <t>Small glutamine-rich tetratricopeptide repeat-containing protein alpha (Fragment)</t>
  </si>
  <si>
    <t>Keratin, type I cytoskeletal 19 (Fragment)</t>
  </si>
  <si>
    <t>Histone H3</t>
  </si>
  <si>
    <t>Tubulin-folding cofactor B</t>
  </si>
  <si>
    <t>Calpain small subunit 1 (Fragment)</t>
  </si>
  <si>
    <t>Programmed cell death protein 5</t>
  </si>
  <si>
    <t>Uncharacterized protein (Fragment)</t>
  </si>
  <si>
    <t>Complement factor D</t>
  </si>
  <si>
    <t>Truncated apolipoprotein C-I (Fragment)</t>
  </si>
  <si>
    <t>Glutathione peroxidase (Fragment)</t>
  </si>
  <si>
    <t>Bleomycin hydrolase (Fragment)</t>
  </si>
  <si>
    <t>Eukaryotic translation initiation factor 3 subunit K</t>
  </si>
  <si>
    <t>UV excision repair protein RAD23 homolog A</t>
  </si>
  <si>
    <t>Dynamin-2</t>
  </si>
  <si>
    <t>Kallikrein 3, (Prostate specific antigen), isoform CRA_a</t>
  </si>
  <si>
    <t>UPF0556 protein C19orf10 (Fragment)</t>
  </si>
  <si>
    <t>Hormone-sensitive lipase (Fragment)</t>
  </si>
  <si>
    <t>Endophilin-A2 (Fragment)</t>
  </si>
  <si>
    <t>Glia maturation factor gamma</t>
  </si>
  <si>
    <t>60S ribosomal protein L13a (Fragment)</t>
  </si>
  <si>
    <t>AP-2 complex subunit sigma</t>
  </si>
  <si>
    <t>40S ribosomal protein S5</t>
  </si>
  <si>
    <t>C-type lectin domain family 11 member A</t>
  </si>
  <si>
    <t>Napsin-A</t>
  </si>
  <si>
    <t>Ras-related protein Rab-4B (Fragment)</t>
  </si>
  <si>
    <t>Charged multivesicular body protein 2a (Fragment)</t>
  </si>
  <si>
    <t>Carcinoembryonic antigen-related cell adhesion molecule 1 (Fragment)</t>
  </si>
  <si>
    <t>40S ribosomal protein S19 (Fragment)</t>
  </si>
  <si>
    <t>Mucin-16 (Fragment)</t>
  </si>
  <si>
    <t>Neurogenic locus notch homolog protein 3 (Fragment)</t>
  </si>
  <si>
    <t>60S ribosomal protein L18a (Fragment)</t>
  </si>
  <si>
    <t>Synaptosomal-associated protein 23</t>
  </si>
  <si>
    <t>Isoform 2 of Toll-like receptor 4</t>
  </si>
  <si>
    <t>26S proteasome non-ATPase regulatory subunit 11</t>
  </si>
  <si>
    <t>Isoform 2 of 26S proteasome non-ATPase regulatory subunit 12</t>
  </si>
  <si>
    <t>Membrane-associated progesterone receptor component 1</t>
  </si>
  <si>
    <t>Isoform DFF35 of DNA fragmentation factor subunit alpha</t>
  </si>
  <si>
    <t>Isoform 2 of Left-right determination factor 2</t>
  </si>
  <si>
    <t>Chloride intracellular channel protein 1</t>
  </si>
  <si>
    <t>Tumor necrosis factor receptor superfamily member 11B</t>
  </si>
  <si>
    <t>Sulfhydryl oxidase 1</t>
  </si>
  <si>
    <t>Importin-5</t>
  </si>
  <si>
    <t>Beta-mannosidase</t>
  </si>
  <si>
    <t>Isoform 2 of Agrin</t>
  </si>
  <si>
    <t>Isoform BIN1-10-13 of Myc box-dependent-interacting protein 1</t>
  </si>
  <si>
    <t>Syntenin-1</t>
  </si>
  <si>
    <t>Protein CYR61</t>
  </si>
  <si>
    <t>Pirin</t>
  </si>
  <si>
    <t>Lysosomal alpha-mannosidase</t>
  </si>
  <si>
    <t>Fructose-1,6-bisphosphatase isozyme 2</t>
  </si>
  <si>
    <t>Pyridoxal kinase</t>
  </si>
  <si>
    <t>Immunoglobulin superfamily containing leucine-rich repeat protein</t>
  </si>
  <si>
    <t>Torsin-1B</t>
  </si>
  <si>
    <t>Disintegrin and metalloproteinase domain-containing protein 10</t>
  </si>
  <si>
    <t>Na(+)/H(+) exchange regulatory cofactor NHE-RF1</t>
  </si>
  <si>
    <t>Tripeptidyl-peptidase 1</t>
  </si>
  <si>
    <t>Ras-related protein M-Ras</t>
  </si>
  <si>
    <t>Proteasome subunit alpha type-7</t>
  </si>
  <si>
    <t>5-oxoprolinase</t>
  </si>
  <si>
    <t>Plexin-B2</t>
  </si>
  <si>
    <t>A disintegrin and metalloproteinase with thrombospondin motifs 3</t>
  </si>
  <si>
    <t>Actin-related protein 2/3 complex subunit 1B</t>
  </si>
  <si>
    <t>Actin-related protein 2/3 complex subunit 2</t>
  </si>
  <si>
    <t>Actin-related protein 2/3 complex subunit 3</t>
  </si>
  <si>
    <t>Isoform 2 of ADAM DEC1</t>
  </si>
  <si>
    <t>Prefoldin subunit 6</t>
  </si>
  <si>
    <t>Laminin subunit alpha-5</t>
  </si>
  <si>
    <t>Matrilin-3</t>
  </si>
  <si>
    <t>Isoform 2 of Syntaxin-7</t>
  </si>
  <si>
    <t>Actin-related protein 2/3 complex subunit 5</t>
  </si>
  <si>
    <t>Fatty acid-binding protein, brain</t>
  </si>
  <si>
    <t>Leucine-rich repeat transmembrane protein FLRT2</t>
  </si>
  <si>
    <t>D-3-phosphoglycerate dehydrogenase</t>
  </si>
  <si>
    <t>26S proteasome non-ATPase regulatory subunit 3</t>
  </si>
  <si>
    <t>Beta-1,4-galactosyltransferase 5</t>
  </si>
  <si>
    <t>Kunitz-type protease inhibitor 2</t>
  </si>
  <si>
    <t>Isoform 2 of Tumor protein D54</t>
  </si>
  <si>
    <t>Isoform 5 of Prominin-1</t>
  </si>
  <si>
    <t>N-acetyllactosaminide beta-1,3-N-acetylglucosaminyltransferase</t>
  </si>
  <si>
    <t>Isoform TWE-PRIL of Tumor necrosis factor ligand superfamily member 12</t>
  </si>
  <si>
    <t>Tetraspanin-6</t>
  </si>
  <si>
    <t>ATPase ASNA1</t>
  </si>
  <si>
    <t>Alpha-actinin-4</t>
  </si>
  <si>
    <t>Isoform 3 of Maleylacetoacetate isomerase</t>
  </si>
  <si>
    <t>Asparagine--tRNA ligase, cytoplasmic</t>
  </si>
  <si>
    <t>Isoform 2 of Calumenin</t>
  </si>
  <si>
    <t>CD5 antigen-like</t>
  </si>
  <si>
    <t>Kallikrein-8</t>
  </si>
  <si>
    <t>Guanine nucleotide-binding protein G(I)/G(S)/G(O) subunit gamma-7</t>
  </si>
  <si>
    <t>Isoform 5 of C-Jun-amino-terminal kinase-interacting protein 4</t>
  </si>
  <si>
    <t>Isoform 2 of TBC1 domain family member 4</t>
  </si>
  <si>
    <t>Mannosyl-oligosaccharide 1,2-alpha-mannosidase IB</t>
  </si>
  <si>
    <t>Isoform Short of Long-chain-fatty-acid--CoA ligase 4</t>
  </si>
  <si>
    <t>Cell death activator CIDE-A</t>
  </si>
  <si>
    <t>Isoform 2 of GDP-mannose 4,6 dehydratase</t>
  </si>
  <si>
    <t>Toll-like receptor 2</t>
  </si>
  <si>
    <t>15 kDa selenoprotein</t>
  </si>
  <si>
    <t>Isoform 4 of Perilipin-3</t>
  </si>
  <si>
    <t>General vesicular transport factor p115</t>
  </si>
  <si>
    <t>Isoform 2 of Endothelial differentiation-related factor 1</t>
  </si>
  <si>
    <t>Immunoglobulin superfamily member 3</t>
  </si>
  <si>
    <t>EF-hand calcium-binding domain-containing protein 14</t>
  </si>
  <si>
    <t>WD repeat-containing protein 1</t>
  </si>
  <si>
    <t>Gamma-glutamylcyclotransferase</t>
  </si>
  <si>
    <t>Cartilage intermediate layer protein 1</t>
  </si>
  <si>
    <t>V-type proton ATPase subunit G 1</t>
  </si>
  <si>
    <t>Vacuolar protein sorting-associated protein 4B</t>
  </si>
  <si>
    <t>Ectonucleoside triphosphate diphosphohydrolase 3</t>
  </si>
  <si>
    <t>SH3 domain-binding glutamic acid-rich-like protein</t>
  </si>
  <si>
    <t>Isoform 2 of Filamin-B</t>
  </si>
  <si>
    <t>Vesicle-trafficking protein SEC22b</t>
  </si>
  <si>
    <t>Carbonic anhydrase-related protein 11</t>
  </si>
  <si>
    <t>Ceroid-lipofuscinosis neuronal protein 5</t>
  </si>
  <si>
    <t>Protein CREG1</t>
  </si>
  <si>
    <t>Protein XRP2</t>
  </si>
  <si>
    <t>Isoform 2 of Ribonuclease P protein subunit p40</t>
  </si>
  <si>
    <t>Isocitrate dehydrogenase [NADP] cytoplasmic</t>
  </si>
  <si>
    <t>Isoform 3 of Attractin</t>
  </si>
  <si>
    <t>Putative hydrolase RBBP9</t>
  </si>
  <si>
    <t>Cytosolic 10-formyltetrahydrofolate dehydrogenase</t>
  </si>
  <si>
    <t>Carboxypeptidase D</t>
  </si>
  <si>
    <t>Glutaredoxin-3</t>
  </si>
  <si>
    <t>Isoform 2 of Signal recognition particle subunit SRP72</t>
  </si>
  <si>
    <t>N(G),N(G)-dimethylarginine dimethylaminohydrolase 1</t>
  </si>
  <si>
    <t>Isoform 2 of E3 UFM1-protein ligase 1</t>
  </si>
  <si>
    <t>Proline synthase co-transcribed bacterial homolog protein</t>
  </si>
  <si>
    <t>Isoform 2 of Calsyntenin-1</t>
  </si>
  <si>
    <t>Isoform 3 of Reticulon-3</t>
  </si>
  <si>
    <t>Ly6/PLAUR domain-containing protein 3</t>
  </si>
  <si>
    <t>Vesicle-associated membrane protein-associated protein B/C</t>
  </si>
  <si>
    <t>6-phosphogluconolactonase</t>
  </si>
  <si>
    <t>Phosphoacetylglucosamine mutase</t>
  </si>
  <si>
    <t>Sodium-dependent phosphate transport protein 2B</t>
  </si>
  <si>
    <t>Isoform 2 of Sodium-dependent phosphate transport protein 2B</t>
  </si>
  <si>
    <t>Long-chain-fatty-acid--CoA ligase 3</t>
  </si>
  <si>
    <t>Ras-related protein Rab-3D</t>
  </si>
  <si>
    <t>Synaptosomal-associated protein 29</t>
  </si>
  <si>
    <t>Serine/threonine-protein kinase OSR1</t>
  </si>
  <si>
    <t>Isoform 3 of Double-stranded RNA-binding protein Staufen homolog 1</t>
  </si>
  <si>
    <t>Isoform 2 of Echinoderm microtubule-associated protein-like 2</t>
  </si>
  <si>
    <t>N(G),N(G)-dimethylarginine dimethylaminohydrolase 2</t>
  </si>
  <si>
    <t>Thioredoxin domain-containing protein 12</t>
  </si>
  <si>
    <t>Integrin beta-like protein 1</t>
  </si>
  <si>
    <t>Secretoglobin family 1D member 2</t>
  </si>
  <si>
    <t>Reversion-inducing cysteine-rich protein with Kazal motifs</t>
  </si>
  <si>
    <t>Molybdopterin synthase catalytic subunit</t>
  </si>
  <si>
    <t>Isoform 2 of Cytochrome b5</t>
  </si>
  <si>
    <t>L-lactate dehydrogenase A chain</t>
  </si>
  <si>
    <t>Retinal dehydrogenase 1</t>
  </si>
  <si>
    <t>Isoform 3 of NADH-cytochrome b5 reductase 3</t>
  </si>
  <si>
    <t>Superoxide dismutase [Cu-Zn]</t>
  </si>
  <si>
    <t>Purine nucleoside phosphorylase</t>
  </si>
  <si>
    <t>Hypoxanthine-guanine phosphoribosyltransferase</t>
  </si>
  <si>
    <t>Phosphoglycerate kinase 1</t>
  </si>
  <si>
    <t>Alpha-lactalbumin</t>
  </si>
  <si>
    <t>Prothrombin</t>
  </si>
  <si>
    <t>Complement C1r subcomponent</t>
  </si>
  <si>
    <t>Haptoglobin</t>
  </si>
  <si>
    <t>Haptoglobin-related protein</t>
  </si>
  <si>
    <t>Coagulation factor IX</t>
  </si>
  <si>
    <t>Plasminogen</t>
  </si>
  <si>
    <t>Coagulation factor XII</t>
  </si>
  <si>
    <t>Carbonic anhydrase 2</t>
  </si>
  <si>
    <t>Argininosuccinate synthase</t>
  </si>
  <si>
    <t>Antithrombin-III</t>
  </si>
  <si>
    <t>Alpha-1-antitrypsin</t>
  </si>
  <si>
    <t>Angiotensinogen</t>
  </si>
  <si>
    <t>Alpha-2-macroglobulin</t>
  </si>
  <si>
    <t>Complement C3</t>
  </si>
  <si>
    <t>Complement C5</t>
  </si>
  <si>
    <t>Cystatin-C</t>
  </si>
  <si>
    <t>Cystatin-S</t>
  </si>
  <si>
    <t>Kininogen-1</t>
  </si>
  <si>
    <t>Isoform LMW of Kininogen-1</t>
  </si>
  <si>
    <t>GTPase HRas</t>
  </si>
  <si>
    <t>Isoform 2B of GTPase KRas</t>
  </si>
  <si>
    <t>Isoform 3 of Pro-epidermal growth factor</t>
  </si>
  <si>
    <t>Prolactin</t>
  </si>
  <si>
    <t>Immunoglobulin J chain</t>
  </si>
  <si>
    <t>Ig kappa chain V-I region AG</t>
  </si>
  <si>
    <t>Ig kappa chain V-I region AU</t>
  </si>
  <si>
    <t>Ig kappa chain V-I region CAR</t>
  </si>
  <si>
    <t>Ig kappa chain V-I region EU</t>
  </si>
  <si>
    <t>Ig kappa chain V-I region HK101 (Fragment)</t>
  </si>
  <si>
    <t>Ig kappa chain V-I region Ka</t>
  </si>
  <si>
    <t>Ig kappa chain V-I region Kue</t>
  </si>
  <si>
    <t>Ig kappa chain V-I region Lay</t>
  </si>
  <si>
    <t>Ig kappa chain V-I region Roy</t>
  </si>
  <si>
    <t>Ig kappa chain V-I region Scw</t>
  </si>
  <si>
    <t>Ig kappa chain V-I region WEA</t>
  </si>
  <si>
    <t>Ig kappa chain V-I region Wes</t>
  </si>
  <si>
    <t>Ig kappa chain V-I region Mev</t>
  </si>
  <si>
    <t>Ig kappa chain V-I region Ni</t>
  </si>
  <si>
    <t>Ig kappa chain V-II region TEW</t>
  </si>
  <si>
    <t>Ig kappa chain V-III region B6</t>
  </si>
  <si>
    <t>Ig kappa chain V-III region SIE</t>
  </si>
  <si>
    <t>Ig kappa chain V-III region NG9 (Fragment)</t>
  </si>
  <si>
    <t>Ig kappa chain V-III region WOL</t>
  </si>
  <si>
    <t>Ig kappa chain V-III region POM</t>
  </si>
  <si>
    <t>Ig kappa chain V-IV region Len</t>
  </si>
  <si>
    <t>Ig lambda chain V-I region VOR</t>
  </si>
  <si>
    <t>Ig lambda chain V-I region HA</t>
  </si>
  <si>
    <t>Ig lambda chain V-I region NEW</t>
  </si>
  <si>
    <t>Ig lambda chain V-I region NIG-64</t>
  </si>
  <si>
    <t>Ig lambda chain V-I region NEWM</t>
  </si>
  <si>
    <t>Ig lambda chain V-III region SH</t>
  </si>
  <si>
    <t>Ig lambda chain V-IV region Hil</t>
  </si>
  <si>
    <t>Ig heavy chain V-I region EU</t>
  </si>
  <si>
    <t>Ig heavy chain V-I region HG3</t>
  </si>
  <si>
    <t>Ig heavy chain V-III region VH26</t>
  </si>
  <si>
    <t>Ig heavy chain V-III region TIL</t>
  </si>
  <si>
    <t>Ig heavy chain V-III region BRO</t>
  </si>
  <si>
    <t>Ig heavy chain V-III region BUT</t>
  </si>
  <si>
    <t>Ig heavy chain V-III region HIL</t>
  </si>
  <si>
    <t>Ig heavy chain V-III region KOL</t>
  </si>
  <si>
    <t>Ig heavy chain V-III region ZAP</t>
  </si>
  <si>
    <t>Ig heavy chain V-III region TUR</t>
  </si>
  <si>
    <t>Ig heavy chain V-III region JON</t>
  </si>
  <si>
    <t>Ig heavy chain V-III region GAL</t>
  </si>
  <si>
    <t>Ig heavy chain V-II region WAH</t>
  </si>
  <si>
    <t>Polymeric immunoglobulin receptor</t>
  </si>
  <si>
    <t>Ig kappa chain C region</t>
  </si>
  <si>
    <t>Ig gamma-1 chain C region</t>
  </si>
  <si>
    <t>Ig gamma-2 chain C region</t>
  </si>
  <si>
    <t>Ig gamma-3 chain C region</t>
  </si>
  <si>
    <t>Ig gamma-4 chain C region</t>
  </si>
  <si>
    <t>Ig mu chain C region</t>
  </si>
  <si>
    <t>Ig alpha-1 chain C region</t>
  </si>
  <si>
    <t>Ig alpha-2 chain C region</t>
  </si>
  <si>
    <t>HLA class I histocompatibility antigen, B-7 alpha chain</t>
  </si>
  <si>
    <t>HLA class II histocompatibility antigen, DR alpha chain</t>
  </si>
  <si>
    <t>Isoform 2 of Collagen alpha-1(IV) chain</t>
  </si>
  <si>
    <t>Isoform C of Prelamin-A/C</t>
  </si>
  <si>
    <t>Apolipoprotein A-I</t>
  </si>
  <si>
    <t>Apolipoprotein E</t>
  </si>
  <si>
    <t>Apolipoprotein A-II</t>
  </si>
  <si>
    <t>Isoform 2 of Fibrinogen alpha chain</t>
  </si>
  <si>
    <t>Fibrinogen beta chain</t>
  </si>
  <si>
    <t>Serum amyloid P-component</t>
  </si>
  <si>
    <t>Complement component C9</t>
  </si>
  <si>
    <t>Beta-2-glycoprotein 1</t>
  </si>
  <si>
    <t>Leucine-rich alpha-2-glycoprotein</t>
  </si>
  <si>
    <t>Isoform 5 of Fibronectin</t>
  </si>
  <si>
    <t>Protein AMBP</t>
  </si>
  <si>
    <t>Alpha-1-acid glycoprotein 1</t>
  </si>
  <si>
    <t>Alpha-2-HS-glycoprotein</t>
  </si>
  <si>
    <t>Transthyretin</t>
  </si>
  <si>
    <t>Vitamin D-binding protein</t>
  </si>
  <si>
    <t>C-X-C motif chemokine 10</t>
  </si>
  <si>
    <t>Serotransferrin</t>
  </si>
  <si>
    <t>Lactotransferrin</t>
  </si>
  <si>
    <t>Hemopexin</t>
  </si>
  <si>
    <t>Ferritin light chain</t>
  </si>
  <si>
    <t>Ferritin heavy chain</t>
  </si>
  <si>
    <t>Salivary acidic proline-rich phosphoprotein 1/2</t>
  </si>
  <si>
    <t>Submaxillary gland androgen-regulated protein 3B</t>
  </si>
  <si>
    <t>Angiogenin</t>
  </si>
  <si>
    <t>C4b-binding protein alpha chain</t>
  </si>
  <si>
    <t>Vitronectin</t>
  </si>
  <si>
    <t>Catalase</t>
  </si>
  <si>
    <t>Tissue alpha-L-fucosidase</t>
  </si>
  <si>
    <t>Cystatin-B</t>
  </si>
  <si>
    <t>Apolipoprotein B-100</t>
  </si>
  <si>
    <t>Histidine-rich glycoprotein</t>
  </si>
  <si>
    <t>Ig kappa chain V-III region CLL</t>
  </si>
  <si>
    <t>Ig lambda chain V-I region WAH</t>
  </si>
  <si>
    <t>Ig lambda chain V-II region NIG-84</t>
  </si>
  <si>
    <t>Ig lambda chain V region 4A</t>
  </si>
  <si>
    <t>Alpha-1B-glycoprotein</t>
  </si>
  <si>
    <t>Protein S100-B</t>
  </si>
  <si>
    <t>Isoform 2 of Semenogelin-1</t>
  </si>
  <si>
    <t>Glyceraldehyde-3-phosphate dehydrogenase</t>
  </si>
  <si>
    <t>Isoform 3 of Argininosuccinate lyase</t>
  </si>
  <si>
    <t>Ig kappa chain V-I region BAN</t>
  </si>
  <si>
    <t>Ig kappa chain V-III region VG (Fragment)</t>
  </si>
  <si>
    <t>Ig heavy chain V-II region SESS</t>
  </si>
  <si>
    <t>Alpha-amylase 1</t>
  </si>
  <si>
    <t>Heat shock protein beta-1</t>
  </si>
  <si>
    <t>Isoform L-APP733 of Amyloid beta A4 protein</t>
  </si>
  <si>
    <t>Protein S100-A8</t>
  </si>
  <si>
    <t>Plasma serine protease inhibitor</t>
  </si>
  <si>
    <t>Coagulation factor XIII B chain</t>
  </si>
  <si>
    <t>Isoform H14 of Myeloperoxidase</t>
  </si>
  <si>
    <t>Isoform 2 of Alkaline phosphatase, tissue-nonspecific isozyme</t>
  </si>
  <si>
    <t>Intercellular adhesion molecule 1</t>
  </si>
  <si>
    <t>60S acidic ribosomal protein P2</t>
  </si>
  <si>
    <t>Fatty acid-binding protein, heart</t>
  </si>
  <si>
    <t>Thyroxine-binding globulin</t>
  </si>
  <si>
    <t>Heparin cofactor 2</t>
  </si>
  <si>
    <t>Beta-casein</t>
  </si>
  <si>
    <t>Ig kappa chain V-II region RPMI 6410</t>
  </si>
  <si>
    <t>Ig kappa chain V-III region IARC/BL41</t>
  </si>
  <si>
    <t>Ig kappa chain V-IV region (Fragment)</t>
  </si>
  <si>
    <t>Ig lambda chain V-VI region WLT</t>
  </si>
  <si>
    <t>Ig heavy chain V-II region ARH-77</t>
  </si>
  <si>
    <t>Isoform 2 of Gelsolin</t>
  </si>
  <si>
    <t>Complement C2</t>
  </si>
  <si>
    <t>Protein S100-A9</t>
  </si>
  <si>
    <t>Apolipoprotein A-IV</t>
  </si>
  <si>
    <t>Alpha-enolase</t>
  </si>
  <si>
    <t>Glucose-6-phosphate isomerase</t>
  </si>
  <si>
    <t>Lipoprotein lipase</t>
  </si>
  <si>
    <t>Isoform 2 of Glia-derived nexin</t>
  </si>
  <si>
    <t>Acyl-CoA-binding protein</t>
  </si>
  <si>
    <t>L-lactate dehydrogenase B chain</t>
  </si>
  <si>
    <t>Glutathione peroxidase 1</t>
  </si>
  <si>
    <t>Protein disulfide-isomerase</t>
  </si>
  <si>
    <t>Cathepsin D</t>
  </si>
  <si>
    <t>Complement component C8 alpha chain</t>
  </si>
  <si>
    <t>Complement component C8 beta chain</t>
  </si>
  <si>
    <t>Complement component C8 gamma chain</t>
  </si>
  <si>
    <t>Calpain-1 catalytic subunit</t>
  </si>
  <si>
    <t>Kappa-casein</t>
  </si>
  <si>
    <t>Beta-hexosaminidase subunit beta</t>
  </si>
  <si>
    <t>Profilin-1</t>
  </si>
  <si>
    <t>Cathepsin B</t>
  </si>
  <si>
    <t>Heat shock protein HSP 90-alpha</t>
  </si>
  <si>
    <t>Galactose-1-phosphate uridylyltransferase</t>
  </si>
  <si>
    <t>Isoform 2 of Tyrosine-protein kinase Lyn</t>
  </si>
  <si>
    <t>Isoform Cytoplasmic of Fumarate hydratase, mitochondrial</t>
  </si>
  <si>
    <t>Ribonuclease pancreatic</t>
  </si>
  <si>
    <t>Heat shock 70 kDa protein 1A/1B</t>
  </si>
  <si>
    <t>Collagen alpha-2(I) chain</t>
  </si>
  <si>
    <t>Corticosteroid-binding globulin</t>
  </si>
  <si>
    <t>Heat shock protein HSP 90-beta</t>
  </si>
  <si>
    <t>Isoform 2 of 72 kDa type IV collagenase</t>
  </si>
  <si>
    <t>Extracellular superoxide dismutase [Cu-Zn]</t>
  </si>
  <si>
    <t>Cathepsin G</t>
  </si>
  <si>
    <t>Matrix Gla protein</t>
  </si>
  <si>
    <t>Monocyte differentiation antigen CD14</t>
  </si>
  <si>
    <t>Collagen alpha-2(IV) chain</t>
  </si>
  <si>
    <t>Isoform 2 of Melanotransferrin</t>
  </si>
  <si>
    <t>Complement factor H</t>
  </si>
  <si>
    <t>Alpha-2-antiplasmin</t>
  </si>
  <si>
    <t>Guanine nucleotide-binding protein G(k) subunit alpha</t>
  </si>
  <si>
    <t>Matrilysin</t>
  </si>
  <si>
    <t>Growth-regulated alpha protein</t>
  </si>
  <si>
    <t>Galectin-1</t>
  </si>
  <si>
    <t>Fructose-1,6-bisphosphatase 1</t>
  </si>
  <si>
    <t>Isoform 4 of Tropomyosin alpha-1 chain</t>
  </si>
  <si>
    <t>Isoform CNPI of 2,3-cyclic-nucleotide 3-phosphodiesterase</t>
  </si>
  <si>
    <t>Macrophage colony-stimulating factor 1</t>
  </si>
  <si>
    <t>Pro-cathepsin H</t>
  </si>
  <si>
    <t>Tumor-associated calcium signal transducer 2</t>
  </si>
  <si>
    <t>Complement C1s subcomponent</t>
  </si>
  <si>
    <t>Leukotriene A-4 hydrolase</t>
  </si>
  <si>
    <t>FRAS1-related extracellular matrix protein 3</t>
  </si>
  <si>
    <t>Complement C4-A</t>
  </si>
  <si>
    <t>Complement C4-B</t>
  </si>
  <si>
    <t>Ig lambda-2 chain C regions</t>
  </si>
  <si>
    <t>Serum amyloid A-1 protein</t>
  </si>
  <si>
    <t>Serum amyloid A-2 protein</t>
  </si>
  <si>
    <t>Lysosomal alpha-glucosidase</t>
  </si>
  <si>
    <t>Ras-related protein R-Ras</t>
  </si>
  <si>
    <t>Isoform B of Osteopontin</t>
  </si>
  <si>
    <t>Isoform D of Osteopontin</t>
  </si>
  <si>
    <t>Isoform 5 of Osteopontin</t>
  </si>
  <si>
    <t>Isoform 2 of Receptor-type tyrosine-protein phosphatase F</t>
  </si>
  <si>
    <t>Thioredoxin</t>
  </si>
  <si>
    <t>Lysosomal protective protein</t>
  </si>
  <si>
    <t>Complement component C7</t>
  </si>
  <si>
    <t>cAMP-dependent protein kinase type I-alpha regulatory subunit</t>
  </si>
  <si>
    <t>Isoform 3 of Mast/stem cell growth factor receptor Kit</t>
  </si>
  <si>
    <t>60 kDa heat shock protein, mitochondrial</t>
  </si>
  <si>
    <t>Isoform 4 of Clusterin</t>
  </si>
  <si>
    <t>78 kDa glucose-regulated protein</t>
  </si>
  <si>
    <t>Laminin subunit gamma-1</t>
  </si>
  <si>
    <t>Heat shock cognate 71 kDa protein</t>
  </si>
  <si>
    <t>Isoform 2 of Uridine 5-monophosphate synthase</t>
  </si>
  <si>
    <t>Glycogen phosphorylase, brain form</t>
  </si>
  <si>
    <t>Lysosome-associated membrane glycoprotein 1</t>
  </si>
  <si>
    <t>Glucose-6-phosphate 1-dehydrogenase</t>
  </si>
  <si>
    <t>Eosinophil peroxidase</t>
  </si>
  <si>
    <t>Cation-independent mannose-6-phosphate receptor</t>
  </si>
  <si>
    <t>Alcohol dehydrogenase class-3</t>
  </si>
  <si>
    <t>Ribose-phosphate pyrophosphokinase 2</t>
  </si>
  <si>
    <t>Isoform 2 of Polyadenylate-binding protein 1</t>
  </si>
  <si>
    <t>Collagen alpha-1(VI) chain</t>
  </si>
  <si>
    <t>Coagulation factor V</t>
  </si>
  <si>
    <t>Prolactin-inducible protein</t>
  </si>
  <si>
    <t>Isoform 2 of Alpha-actinin-1</t>
  </si>
  <si>
    <t>Angiotensin-converting enzyme</t>
  </si>
  <si>
    <t>Gamma-interferon-inducible lysosomal thiol reductase</t>
  </si>
  <si>
    <t>Ribonuclease inhibitor</t>
  </si>
  <si>
    <t>Isoform BMP1-5 of Bone morphogenetic protein 1</t>
  </si>
  <si>
    <t>Elongation factor 2</t>
  </si>
  <si>
    <t>Protein disulfide-isomerase A4</t>
  </si>
  <si>
    <t>Complement component C6</t>
  </si>
  <si>
    <t>Isoform 2 of Tissue factor</t>
  </si>
  <si>
    <t>HLA class II histocompatibility antigen, DRB1-4 beta chain</t>
  </si>
  <si>
    <t>HLA class II histocompatibility antigen, DR beta 4 chain</t>
  </si>
  <si>
    <t>Plastin-2</t>
  </si>
  <si>
    <t>Sodium/glucose cotransporter 1</t>
  </si>
  <si>
    <t>Macrophage migration inhibitory factor</t>
  </si>
  <si>
    <t>Isoform 2 of Farnesyl pyrophosphate synthase</t>
  </si>
  <si>
    <t>Isoform 2 of Nidogen-1</t>
  </si>
  <si>
    <t>Alcohol dehydrogenase [NADP(+)]</t>
  </si>
  <si>
    <t>Pyruvate kinase isozymes M1/M2</t>
  </si>
  <si>
    <t>Acylphosphatase-2</t>
  </si>
  <si>
    <t>Endoplasmin</t>
  </si>
  <si>
    <t>Insulin-degrading enzyme</t>
  </si>
  <si>
    <t>Junction plakoglobin</t>
  </si>
  <si>
    <t>Carboxypeptidase B</t>
  </si>
  <si>
    <t>Fatty acid-binding protein, adipocyte</t>
  </si>
  <si>
    <t>Glutamine synthetase</t>
  </si>
  <si>
    <t>Aminopeptidase N</t>
  </si>
  <si>
    <t>Isoform Gamma of Poliovirus receptor</t>
  </si>
  <si>
    <t>Carboxypeptidase N catalytic chain</t>
  </si>
  <si>
    <t>Isoform 2 of Eukaryotic peptide chain release factor GTP-binding subunit ERF3A</t>
  </si>
  <si>
    <t>Arylsulfatase A</t>
  </si>
  <si>
    <t>Isoform Short of Beta-1,4-galactosyltransferase 1</t>
  </si>
  <si>
    <t>Ezrin</t>
  </si>
  <si>
    <t>Folate receptor alpha</t>
  </si>
  <si>
    <t>Ubiquitin carboxyl-terminal hydrolase isozyme L3</t>
  </si>
  <si>
    <t>Isoform 3 of Granulocyte-macrophage colony-stimulating factor receptor subunit alpha</t>
  </si>
  <si>
    <t>Isoform 3 of Membrane cofactor protein</t>
  </si>
  <si>
    <t>Immunoglobulin lambda-like polypeptide 1</t>
  </si>
  <si>
    <t>Isoform DPII of Desmoplakin</t>
  </si>
  <si>
    <t>Isoform 13 of Mucin-1</t>
  </si>
  <si>
    <t>Metalloproteinase inhibitor 2</t>
  </si>
  <si>
    <t>Carbonyl reductase [NADPH] 1</t>
  </si>
  <si>
    <t>Isoform 3 of Beta-galactosidase</t>
  </si>
  <si>
    <t>Isoform Delta13 of Platelet endothelial cell adhesion molecule</t>
  </si>
  <si>
    <t>Histone H1.5</t>
  </si>
  <si>
    <t>Histone H1.2</t>
  </si>
  <si>
    <t>Dipeptidase 1</t>
  </si>
  <si>
    <t>Isoform 2 of Y-box-binding protein 3</t>
  </si>
  <si>
    <t>Alpha-N-acetylgalactosaminidase</t>
  </si>
  <si>
    <t>Heat shock 70 kDa protein 6</t>
  </si>
  <si>
    <t>Aspartate aminotransferase, cytoplasmic</t>
  </si>
  <si>
    <t>Calpain-2 catalytic subunit</t>
  </si>
  <si>
    <t>Isoform Short of Endoglin</t>
  </si>
  <si>
    <t>6-phosphofructokinase, liver type</t>
  </si>
  <si>
    <t>Ganglioside GM2 activator</t>
  </si>
  <si>
    <t>Galectin-3</t>
  </si>
  <si>
    <t>Insulin-like growth factor-binding protein 3</t>
  </si>
  <si>
    <t>T-complex protein 1 subunit alpha</t>
  </si>
  <si>
    <t>Insulin-like growth factor-binding protein 2</t>
  </si>
  <si>
    <t>ADP-ribosylation factor 4</t>
  </si>
  <si>
    <t>Ig kappa chain V-III region HAH</t>
  </si>
  <si>
    <t>Isoform 1 of Vinculin</t>
  </si>
  <si>
    <t>Lipopolysaccharide-binding protein</t>
  </si>
  <si>
    <t>Interleukin-1 receptor antagonist protein</t>
  </si>
  <si>
    <t>Phosphoglycerate mutase 1</t>
  </si>
  <si>
    <t>Syndecan-1</t>
  </si>
  <si>
    <t>Cyclic AMP-dependent transcription factor ATF-6 alpha</t>
  </si>
  <si>
    <t>Isoform 2 of Peptidyl-glycine alpha-amidating monooxygenase</t>
  </si>
  <si>
    <t>Vascular cell adhesion protein 1</t>
  </si>
  <si>
    <t>Gamma-glutamyltranspeptidase 1</t>
  </si>
  <si>
    <t>Spermidine synthase</t>
  </si>
  <si>
    <t>Alpha-1-acid glycoprotein 2</t>
  </si>
  <si>
    <t>Inter-alpha-trypsin inhibitor heavy chain H1</t>
  </si>
  <si>
    <t>Bile salt-activated lipase</t>
  </si>
  <si>
    <t>C-X-C motif chemokine 2</t>
  </si>
  <si>
    <t>HLA class II histocompatibility antigen, DRB1-11 beta chain</t>
  </si>
  <si>
    <t>Transcobalamin-1</t>
  </si>
  <si>
    <t>Ras-related protein Rab-3A</t>
  </si>
  <si>
    <t>Proteasome subunit beta type-1</t>
  </si>
  <si>
    <t>Pregnancy zone protein</t>
  </si>
  <si>
    <t>Mimecan</t>
  </si>
  <si>
    <t>Ephrin-A1</t>
  </si>
  <si>
    <t>Isoform 2 of C4b-binding protein beta chain</t>
  </si>
  <si>
    <t>N(4)-(beta-N-acetylglucosaminyl)-L-asparaginase</t>
  </si>
  <si>
    <t>V-type proton ATPase subunit B, brain isoform</t>
  </si>
  <si>
    <t>Cytoplasmic aconitate hydratase</t>
  </si>
  <si>
    <t>Isoform 2 of Glycerol-3-phosphate dehydrogenase [NAD(+)], cytoplasmic</t>
  </si>
  <si>
    <t>Isoform Soluble of Catechol O-methyltransferase</t>
  </si>
  <si>
    <t>Oxysterol-binding protein 1</t>
  </si>
  <si>
    <t>Lactoperoxidase</t>
  </si>
  <si>
    <t>Trifunctional purine biosynthetic protein adenosine-3</t>
  </si>
  <si>
    <t>Isoform 2 of Cadherin-3</t>
  </si>
  <si>
    <t>Iduronate 2-sulfatase</t>
  </si>
  <si>
    <t>Isoform 4 of Non-specific lipid-transfer protein</t>
  </si>
  <si>
    <t>Ubiquitin-like modifier-activating enzyme 1</t>
  </si>
  <si>
    <t>Glutathione peroxidase 3</t>
  </si>
  <si>
    <t>Isoform A2 of Heterogeneous nuclear ribonucleoproteins A2/B1</t>
  </si>
  <si>
    <t>Cyclin-O</t>
  </si>
  <si>
    <t>Calretinin</t>
  </si>
  <si>
    <t>Carboxypeptidase N subunit 2</t>
  </si>
  <si>
    <t>Macrophage mannose receptor 1</t>
  </si>
  <si>
    <t>Ig heavy chain V-I region V35</t>
  </si>
  <si>
    <t>Carbonic anhydrase 6</t>
  </si>
  <si>
    <t>Isoform 2 of Carbonic anhydrase 6</t>
  </si>
  <si>
    <t>Peptidyl-prolyl cis-trans isomerase B</t>
  </si>
  <si>
    <t>Protein S100-A1</t>
  </si>
  <si>
    <t>Tryptophan--tRNA ligase, cytoplasmic</t>
  </si>
  <si>
    <t>40S ribosomal protein S3</t>
  </si>
  <si>
    <t>Carnitine O-palmitoyltransferase 2, mitochondrial</t>
  </si>
  <si>
    <t>Laminin subunit alpha-2</t>
  </si>
  <si>
    <t>Myeloblastin</t>
  </si>
  <si>
    <t>Alanine aminotransferase 1</t>
  </si>
  <si>
    <t>Elongation factor 1-beta</t>
  </si>
  <si>
    <t>Insulin-like growth factor-binding protein 5</t>
  </si>
  <si>
    <t>Tenascin</t>
  </si>
  <si>
    <t>3-mercaptopyruvate sulfurtransferase</t>
  </si>
  <si>
    <t>40S ribosomal protein S12</t>
  </si>
  <si>
    <t>Isoform 6 of Tumor necrosis factor receptor superfamily member 6</t>
  </si>
  <si>
    <t>DnaJ homolog subfamily B member 2</t>
  </si>
  <si>
    <t>Cathepsin S</t>
  </si>
  <si>
    <t>Proteasome subunit alpha type-1</t>
  </si>
  <si>
    <t>Proteasome subunit alpha type-2</t>
  </si>
  <si>
    <t>Isoform 2 of Proteasome subunit alpha type-3</t>
  </si>
  <si>
    <t>Protein S100-P</t>
  </si>
  <si>
    <t>Collagen alpha-3(V) chain</t>
  </si>
  <si>
    <t>Moesin</t>
  </si>
  <si>
    <t>Protein S100-A4</t>
  </si>
  <si>
    <t>Alpha-1,3-mannosyl-glycoprotein 2-beta-N-acetylglucosaminyltransferase</t>
  </si>
  <si>
    <t>Threonine--tRNA ligase, cytoplasmic</t>
  </si>
  <si>
    <t>Elongation factor 1-gamma</t>
  </si>
  <si>
    <t>Peptidyl-prolyl cis-trans isomerase FKBP2</t>
  </si>
  <si>
    <t>Ciliary neurotrophic factor receptor subunit alpha</t>
  </si>
  <si>
    <t>Serum paraoxonase/arylesterase 1</t>
  </si>
  <si>
    <t>14-3-3 protein theta</t>
  </si>
  <si>
    <t>G0/G1 switch protein 2</t>
  </si>
  <si>
    <t>Calmodulin-like protein 3</t>
  </si>
  <si>
    <t>Calreticulin</t>
  </si>
  <si>
    <t>Calnexin</t>
  </si>
  <si>
    <t>Isoform 2 of Proteasome subunit beta type-8</t>
  </si>
  <si>
    <t>Proteasome subunit alpha type-5</t>
  </si>
  <si>
    <t>Proteasome subunit beta type-4</t>
  </si>
  <si>
    <t>Proteasome subunit beta type-6</t>
  </si>
  <si>
    <t>Proteasome subunit beta type-5</t>
  </si>
  <si>
    <t>Granulins</t>
  </si>
  <si>
    <t>Isoform 2 of Cytosol aminopeptidase</t>
  </si>
  <si>
    <t>Inositol monophosphatase 1</t>
  </si>
  <si>
    <t>Cellular retinoic acid-binding protein 2</t>
  </si>
  <si>
    <t>Transketolase</t>
  </si>
  <si>
    <t>Kallistatin</t>
  </si>
  <si>
    <t>Cellular retinoic acid-binding protein 1</t>
  </si>
  <si>
    <t>Myristoylated alanine-rich C-kinase substrate</t>
  </si>
  <si>
    <t>Endoplasmic reticulum resident protein 29</t>
  </si>
  <si>
    <t>Peroxiredoxin-6</t>
  </si>
  <si>
    <t>Flavin reductase (NADPH)</t>
  </si>
  <si>
    <t>Peroxiredoxin-5, mitochondrial</t>
  </si>
  <si>
    <t>60S ribosomal protein L12</t>
  </si>
  <si>
    <t>Phosphatidylethanolamine-binding protein 1</t>
  </si>
  <si>
    <t>Isoform Short of Glycylpeptide N-tetradecanoyltransferase 1</t>
  </si>
  <si>
    <t>HLA class I histocompatibility antigen, A-36 alpha chain</t>
  </si>
  <si>
    <t>Adenylosuccinate synthetase isozyme 2</t>
  </si>
  <si>
    <t>Alpha-2-macroglobulin receptor-associated protein</t>
  </si>
  <si>
    <t>Leukocyte elastase inhibitor</t>
  </si>
  <si>
    <t>Coronin-1A</t>
  </si>
  <si>
    <t>Rab GDP dissociation inhibitor alpha</t>
  </si>
  <si>
    <t>cAMP-dependent protein kinase type II-beta regulatory subunit</t>
  </si>
  <si>
    <t>Isoform 2 of Syndecan-4</t>
  </si>
  <si>
    <t>3-hydroxyisobutyrate dehydrogenase, mitochondrial</t>
  </si>
  <si>
    <t>Caspase-14</t>
  </si>
  <si>
    <t>Isoform Short of 14-3-3 protein beta/alpha</t>
  </si>
  <si>
    <t>Isoform 2 of 14-3-3 protein sigma</t>
  </si>
  <si>
    <t>Stress-induced-phosphoprotein 1</t>
  </si>
  <si>
    <t>Protein S100-A11</t>
  </si>
  <si>
    <t>Peroxiredoxin-2</t>
  </si>
  <si>
    <t>Interferon-induced guanylate-binding protein 1</t>
  </si>
  <si>
    <t>Isoform 3 of Cystathionine gamma-lyase</t>
  </si>
  <si>
    <t>Isoform 2 of Long-chain-fatty-acid--CoA ligase 1</t>
  </si>
  <si>
    <t>Kinesin-1 heavy chain</t>
  </si>
  <si>
    <t>Mannosyl-oligosaccharide 1,2-alpha-mannosidase IA</t>
  </si>
  <si>
    <t>Ribonuclease 4</t>
  </si>
  <si>
    <t>Isoform 2 of Serine hydroxymethyltransferase, cytosolic</t>
  </si>
  <si>
    <t>Heat shock 70 kDa protein 4</t>
  </si>
  <si>
    <t>Serpin B6</t>
  </si>
  <si>
    <t>Radixin</t>
  </si>
  <si>
    <t>Sepiapterin reductase</t>
  </si>
  <si>
    <t>Serum amyloid A-4 protein</t>
  </si>
  <si>
    <t>Myosin-9</t>
  </si>
  <si>
    <t>Tyrosine-protein kinase receptor Tie-1</t>
  </si>
  <si>
    <t>Isoform 3 of Basigin</t>
  </si>
  <si>
    <t>Glutaredoxin-1</t>
  </si>
  <si>
    <t>Protein phosphatase 1A</t>
  </si>
  <si>
    <t>Insulin-like growth factor-binding protein complex acid labile subunit</t>
  </si>
  <si>
    <t>26S protease regulatory subunit 7</t>
  </si>
  <si>
    <t>Chitinase-3-like protein 1</t>
  </si>
  <si>
    <t>60S ribosomal protein L4</t>
  </si>
  <si>
    <t>Phosphoglucomutase-1</t>
  </si>
  <si>
    <t>Pigment epithelium-derived factor</t>
  </si>
  <si>
    <t>Isoform Short of Complement factor H-related protein 2</t>
  </si>
  <si>
    <t>Transgelin-2</t>
  </si>
  <si>
    <t>Stress-70 protein, mitochondrial</t>
  </si>
  <si>
    <t>Isoform 2 of Macrophage-capping protein</t>
  </si>
  <si>
    <t>Isoform 3 of Interleukin-6 receptor subunit beta</t>
  </si>
  <si>
    <t>Isoform 2 of T-complex protein 1 subunit zeta</t>
  </si>
  <si>
    <t>Proteasome subunit beta type-10</t>
  </si>
  <si>
    <t>ADP-ribosylation factor-like protein 4A</t>
  </si>
  <si>
    <t>Malate dehydrogenase, cytoplasmic</t>
  </si>
  <si>
    <t>Eukaryotic translation initiation factor 2 subunit 3</t>
  </si>
  <si>
    <t>Protein phosphatase inhibitor 2</t>
  </si>
  <si>
    <t>Glycine--tRNA ligase</t>
  </si>
  <si>
    <t>Beta-centractin</t>
  </si>
  <si>
    <t>Aldo-keto reductase family 1 member C3</t>
  </si>
  <si>
    <t>Caspase-3</t>
  </si>
  <si>
    <t>Lysosomal Pro-X carboxypeptidase</t>
  </si>
  <si>
    <t>Platelet-activating factor acetylhydrolase IB subunit alpha</t>
  </si>
  <si>
    <t>Cell surface glycoprotein MUC18</t>
  </si>
  <si>
    <t>Nicotinamide phosphoribosyltransferase</t>
  </si>
  <si>
    <t>Afamin</t>
  </si>
  <si>
    <t>26S protease regulatory subunit 6B</t>
  </si>
  <si>
    <t>Aspartoacylase</t>
  </si>
  <si>
    <t>Peptidyl-prolyl cis-trans isomerase C</t>
  </si>
  <si>
    <t>Isoform Short of Ubiquitin carboxyl-terminal hydrolase 5</t>
  </si>
  <si>
    <t>Isoform Crk-I of Adapter molecule crk</t>
  </si>
  <si>
    <t>40S ribosomal protein S9</t>
  </si>
  <si>
    <t>40S ribosomal protein S10</t>
  </si>
  <si>
    <t>Ras GTPase-activating-like protein IQGAP1</t>
  </si>
  <si>
    <t>Isoform 2 of Alpha-S1-casein</t>
  </si>
  <si>
    <t>Isoform 3 of Alpha-S1-casein</t>
  </si>
  <si>
    <t>F-actin-capping protein subunit alpha-2</t>
  </si>
  <si>
    <t>Aldehyde dehydrogenase family 1 member A3</t>
  </si>
  <si>
    <t>60S ribosomal protein L29</t>
  </si>
  <si>
    <t>Xanthine dehydrogenase/oxidase</t>
  </si>
  <si>
    <t>NADP-dependent malic enzyme</t>
  </si>
  <si>
    <t>Isoform 2 of Lanosterol synthase</t>
  </si>
  <si>
    <t>Glutamate--cysteine ligase catalytic subunit</t>
  </si>
  <si>
    <t>Glutathione synthetase</t>
  </si>
  <si>
    <t>Heat shock 70 kDa protein 13</t>
  </si>
  <si>
    <t>Phosphatidylinositol transfer protein beta isoform</t>
  </si>
  <si>
    <t>Mannan-binding lectin serine protease 1</t>
  </si>
  <si>
    <t>MARCKS-related protein</t>
  </si>
  <si>
    <t>4-trimethylaminobutyraldehyde dehydrogenase</t>
  </si>
  <si>
    <t>Protein ERGIC-53</t>
  </si>
  <si>
    <t>Isoform 3 of Natural resistance-associated macrophage protein 2</t>
  </si>
  <si>
    <t>Fatty acid synthase</t>
  </si>
  <si>
    <t>Isoform 1B of Beta-arrestin-1</t>
  </si>
  <si>
    <t>Isoform 2 of Alpha-aminoadipic semialdehyde dehydrogenase</t>
  </si>
  <si>
    <t>Signal recognition particle 9 kDa protein</t>
  </si>
  <si>
    <t>Alanine--tRNA ligase, cytoplasmic</t>
  </si>
  <si>
    <t>Proteasome subunit beta type-3</t>
  </si>
  <si>
    <t>Proteasome subunit beta type-2</t>
  </si>
  <si>
    <t>Thrombospondin-3</t>
  </si>
  <si>
    <t>Transmembrane emp24 domain-containing protein 10</t>
  </si>
  <si>
    <t>Histidine triad nucleotide-binding protein 1</t>
  </si>
  <si>
    <t>Isoform 1 of Retinoic acid receptor responder protein 1</t>
  </si>
  <si>
    <t>Bis(5-adenosyl)-triphosphatase</t>
  </si>
  <si>
    <t>Histamine N-methyltransferase</t>
  </si>
  <si>
    <t>Guanine nucleotide-binding protein G(q) subunit alpha</t>
  </si>
  <si>
    <t>Hsc70-interacting protein</t>
  </si>
  <si>
    <t>Tumor necrosis factor ligand superfamily member 10</t>
  </si>
  <si>
    <t>Ras association domain-containing protein 2</t>
  </si>
  <si>
    <t>Palmitoyl-protein thioesterase 1</t>
  </si>
  <si>
    <t>Ras-related protein Rab-5C</t>
  </si>
  <si>
    <t>Ras-related protein Rab-7a</t>
  </si>
  <si>
    <t>Ras-related protein Rab-9A</t>
  </si>
  <si>
    <t>Ras-related protein Rab-13</t>
  </si>
  <si>
    <t>Matrix metalloproteinase-15</t>
  </si>
  <si>
    <t>Thiopurine S-methyltransferase</t>
  </si>
  <si>
    <t>N-sulphoglucosamine sulphohydrolase</t>
  </si>
  <si>
    <t>Lumican</t>
  </si>
  <si>
    <t>Alpha-(1,3)-fucosyltransferase</t>
  </si>
  <si>
    <t>Isoform 4 of Rap1 GTPase-GDP dissociation stimulator 1</t>
  </si>
  <si>
    <t>Ribonuclease UK114</t>
  </si>
  <si>
    <t>F-actin-capping protein subunit alpha-1</t>
  </si>
  <si>
    <t>Arfaptin-1</t>
  </si>
  <si>
    <t>ATP-citrate synthase</t>
  </si>
  <si>
    <t>Diphosphomevalonate decarboxylase</t>
  </si>
  <si>
    <t>Dipeptidyl peptidase 1</t>
  </si>
  <si>
    <t>Isoform 2 of IST1 homolog</t>
  </si>
  <si>
    <t>Isoform Monomeric of Arginine--tRNA ligase, cytoplasmic</t>
  </si>
  <si>
    <t>Voltage-dependent calcium channel subunit alpha-2/delta-1</t>
  </si>
  <si>
    <t>Tyrosine--tRNA ligase, cytoplasmic</t>
  </si>
  <si>
    <t>UV excision repair protein RAD23 homolog B</t>
  </si>
  <si>
    <t>Alpha-N-acetylglucosaminidase</t>
  </si>
  <si>
    <t>Isoform B of Microfibrillar-associated protein 2</t>
  </si>
  <si>
    <t>Transitional endoplasmic reticulum ATPase</t>
  </si>
  <si>
    <t>Mesencephalic astrocyte-derived neurotrophic factor</t>
  </si>
  <si>
    <t>Isoform 4 of Caspase-7</t>
  </si>
  <si>
    <t>Caspase-6</t>
  </si>
  <si>
    <t>Laminin subunit beta-2</t>
  </si>
  <si>
    <t>Isoform 3 of Cadherin-13</t>
  </si>
  <si>
    <t>Eukaryotic translation initiation factor 3 subunit B</t>
  </si>
  <si>
    <t>BH3-interacting domain death agonist</t>
  </si>
  <si>
    <t>Eukaryotic translation initiation factor 6</t>
  </si>
  <si>
    <t>Ras-related protein Rab-25</t>
  </si>
  <si>
    <t>Epiplakin</t>
  </si>
  <si>
    <t>Myotrophin</t>
  </si>
  <si>
    <t>Beta-defensin 1</t>
  </si>
  <si>
    <t>Isoform 2 of Triosephosphate isomerase</t>
  </si>
  <si>
    <t>Eukaryotic initiation factor 4A-I</t>
  </si>
  <si>
    <t>40S ribosomal protein S20</t>
  </si>
  <si>
    <t>Cell division control protein 42 homolog</t>
  </si>
  <si>
    <t>Destrin</t>
  </si>
  <si>
    <t>Ras-related protein Rab-8A</t>
  </si>
  <si>
    <t>Signal peptidase complex subunit 3</t>
  </si>
  <si>
    <t>Isoform 2 of Signal recognition particle 54 kDa protein</t>
  </si>
  <si>
    <t>Ras-related protein Rab-2A</t>
  </si>
  <si>
    <t>Ras-related protein Rab-5B</t>
  </si>
  <si>
    <t>Ras-related protein Rab-10</t>
  </si>
  <si>
    <t>Ubiquitin-conjugating enzyme E2 D3</t>
  </si>
  <si>
    <t>NEDD8-conjugating enzyme Ubc12</t>
  </si>
  <si>
    <t>Ubiquitin-conjugating enzyme E2 N</t>
  </si>
  <si>
    <t>Ras-related protein Rab-14</t>
  </si>
  <si>
    <t>Actin-related protein 3</t>
  </si>
  <si>
    <t>Actin-related protein 2</t>
  </si>
  <si>
    <t>Ras-related protein Rap-1b</t>
  </si>
  <si>
    <t>Ras-related protein Rap-2b</t>
  </si>
  <si>
    <t>60S ribosomal protein L27</t>
  </si>
  <si>
    <t>Pterin-4-alpha-carbinolamine dehydratase</t>
  </si>
  <si>
    <t>Transforming protein RhoA</t>
  </si>
  <si>
    <t>10 kDa heat shock protein, mitochondrial</t>
  </si>
  <si>
    <t>Lysozyme C</t>
  </si>
  <si>
    <t>Syntaxin-binding protein 1</t>
  </si>
  <si>
    <t>Transforming growth factor beta-2</t>
  </si>
  <si>
    <t>14-3-3 protein gamma</t>
  </si>
  <si>
    <t>Ras-related protein R-Ras2</t>
  </si>
  <si>
    <t>Serine/threonine-protein phosphatase PP1-beta catalytic subunit</t>
  </si>
  <si>
    <t>26S protease regulatory subunit 4</t>
  </si>
  <si>
    <t>Isoform 2 of 26S protease regulatory subunit 8</t>
  </si>
  <si>
    <t>14-3-3 protein epsilon</t>
  </si>
  <si>
    <t>40S ribosomal protein S14</t>
  </si>
  <si>
    <t>Thymosin beta-4</t>
  </si>
  <si>
    <t>ADP-ribosylation factor 6</t>
  </si>
  <si>
    <t>26S protease regulatory subunit 10B</t>
  </si>
  <si>
    <t>60S ribosomal protein L7a</t>
  </si>
  <si>
    <t>40S ribosomal protein S4, X isoform</t>
  </si>
  <si>
    <t>Rho-related GTP-binding protein RhoB</t>
  </si>
  <si>
    <t>40S ribosomal protein S6</t>
  </si>
  <si>
    <t>Histone H4</t>
  </si>
  <si>
    <t>Ras-related protein Rab-1A</t>
  </si>
  <si>
    <t>Ras-related protein Rap-1A</t>
  </si>
  <si>
    <t>40S ribosomal protein S25</t>
  </si>
  <si>
    <t>40S ribosomal protein S26</t>
  </si>
  <si>
    <t>40S ribosomal protein S28</t>
  </si>
  <si>
    <t>Guanine nucleotide-binding protein G(I)/G(S)/G(T) subunit beta-1</t>
  </si>
  <si>
    <t>Guanine nucleotide-binding protein G(I)/G(S)/G(T) subunit beta-2</t>
  </si>
  <si>
    <t>60S ribosomal protein L10a</t>
  </si>
  <si>
    <t>Peptidyl-prolyl cis-trans isomerase A</t>
  </si>
  <si>
    <t>Peptidyl-prolyl cis-trans isomerase FKBP1A</t>
  </si>
  <si>
    <t>Ubiquitin-40S ribosomal protein S27a</t>
  </si>
  <si>
    <t>Growth factor receptor-bound protein 2</t>
  </si>
  <si>
    <t>Ras-related C3 botulinum toxin substrate 1</t>
  </si>
  <si>
    <t>Isoform 3 of Guanine nucleotide-binding protein G(s) subunit alpha isoforms short</t>
  </si>
  <si>
    <t>14-3-3 protein zeta/delta</t>
  </si>
  <si>
    <t>Guanine nucleotide-binding protein G(I)/G(S)/G(O) subunit gamma-5</t>
  </si>
  <si>
    <t>Guanine nucleotide-binding protein subunit beta-2-like 1</t>
  </si>
  <si>
    <t>Actin, cytoplasmic 2</t>
  </si>
  <si>
    <t>Actin, gamma-enteric smooth muscle</t>
  </si>
  <si>
    <t>Tropomyosin alpha-4 chain</t>
  </si>
  <si>
    <t>Isoform 2 of Tropomyosin alpha-4 chain</t>
  </si>
  <si>
    <t>Isoform 2 of Ubiquitin-conjugating enzyme E2 L3</t>
  </si>
  <si>
    <t>Tubulin beta-4B chain</t>
  </si>
  <si>
    <t>Hemoglobin subunit beta</t>
  </si>
  <si>
    <t>Hemoglobin subunit alpha</t>
  </si>
  <si>
    <t>Tyrosine-protein phosphatase non-receptor type substrate 1</t>
  </si>
  <si>
    <t>Isoform 2 of T-complex protein 1 subunit beta</t>
  </si>
  <si>
    <t>Isoform 3 of Butyrophilin subfamily 3 member A2</t>
  </si>
  <si>
    <t>Glutathione S-transferase omega-1</t>
  </si>
  <si>
    <t>Phosphatidylinositol-glycan-specific phospholipase D</t>
  </si>
  <si>
    <t>Isoform 2 of Nucleobindin-2</t>
  </si>
  <si>
    <t>Ig lambda chain V-III region LOI</t>
  </si>
  <si>
    <t>Dermcidin</t>
  </si>
  <si>
    <t>ADP-ribosylation factor 1</t>
  </si>
  <si>
    <t>ADP-ribosylation factor 5</t>
  </si>
  <si>
    <t>Isoform 2 of Disabled homolog 2</t>
  </si>
  <si>
    <t>Basement membrane-specific heparan sulfate proteoglycan core protein</t>
  </si>
  <si>
    <t>Low-density lipoprotein receptor-related protein 2</t>
  </si>
  <si>
    <t>FYVE, RhoGEF and PH domain-containing protein 1</t>
  </si>
  <si>
    <t>Transcriptional activator protein Pur-alpha</t>
  </si>
  <si>
    <t>Isoform 2 of Clathrin heavy chain 1</t>
  </si>
  <si>
    <t>Peptidyl-prolyl cis-trans isomerase FKBP3</t>
  </si>
  <si>
    <t>Spectrin beta chain, non-erythrocytic 1</t>
  </si>
  <si>
    <t>Isoform 3 of Protein SET</t>
  </si>
  <si>
    <t>Di-N-acetylchitobiase</t>
  </si>
  <si>
    <t>Isoform 2 of Adenylyl cyclase-associated protein 1</t>
  </si>
  <si>
    <t>Isoform 2 of 1-phosphatidylinositol 4,5-bisphosphate phosphodiesterase beta-3</t>
  </si>
  <si>
    <t>Isoform 3 of Tyrosine-protein kinase transmembrane receptor ROR1</t>
  </si>
  <si>
    <t>Semenogelin-2</t>
  </si>
  <si>
    <t>Desmoglein-1</t>
  </si>
  <si>
    <t>Isoform 2B of Desmocollin-2</t>
  </si>
  <si>
    <t>Dual specificity mitogen-activated protein kinase kinase 1</t>
  </si>
  <si>
    <t>Peptidyl-prolyl cis-trans isomerase FKBP4</t>
  </si>
  <si>
    <t>Procollagen-lysine,2-oxoglutarate 5-dioxygenase 1</t>
  </si>
  <si>
    <t>Nucleobindin-1</t>
  </si>
  <si>
    <t>Isoform 2 of Complement factor H-related protein 3</t>
  </si>
  <si>
    <t>Isoform 2 of Transforming growth factor beta receptor type 3</t>
  </si>
  <si>
    <t>Isoform 3 of Urokinase plasminogen activator surface receptor</t>
  </si>
  <si>
    <t>Complement factor H-related protein 1</t>
  </si>
  <si>
    <t>Isoform PSMA of Glutamate carboxypeptidase 2</t>
  </si>
  <si>
    <t>Isoform 2 of Lactoylglutathione lyase</t>
  </si>
  <si>
    <t>14-3-3 protein eta</t>
  </si>
  <si>
    <t>Isoform 3 of Collagen alpha-1(XIV) chain</t>
  </si>
  <si>
    <t>Isoform 2 of Inter-alpha-trypsin inhibitor heavy chain H3</t>
  </si>
  <si>
    <t>Isoform 2 of Glutamine--fructose-6-phosphate aminotransferase [isomerizing] 1</t>
  </si>
  <si>
    <t>Amyloid-like protein 2</t>
  </si>
  <si>
    <t>Fibromodulin</t>
  </si>
  <si>
    <t>Peroxiredoxin-1</t>
  </si>
  <si>
    <t>Cytoskeleton-associated protein 4</t>
  </si>
  <si>
    <t>Rho GTPase-activating protein 1</t>
  </si>
  <si>
    <t>Protein-glutamine gamma-glutamyltransferase E</t>
  </si>
  <si>
    <t>Isoform 2 of Epithelial discoidin domain-containing receptor 1</t>
  </si>
  <si>
    <t>Galectin-3-binding protein</t>
  </si>
  <si>
    <t>Isoform 1B of Desmocollin-1</t>
  </si>
  <si>
    <t>Isoform OA3-293 of Leukocyte surface antigen CD47</t>
  </si>
  <si>
    <t>Neuroblast differentiation-associated protein AHNAK</t>
  </si>
  <si>
    <t>Polypeptide N-acetylgalactosaminyltransferase 2</t>
  </si>
  <si>
    <t>Isoform 4 of AP-1 complex subunit beta-1</t>
  </si>
  <si>
    <t>Bone marrow stromal antigen 2</t>
  </si>
  <si>
    <t>Twinfilin-1</t>
  </si>
  <si>
    <t>Isoform 10 of Aspartyl/asparaginyl beta-hydroxylase</t>
  </si>
  <si>
    <t>Isoform 2 of EGF-containing fibulin-like extracellular matrix protein 1</t>
  </si>
  <si>
    <t>Follistatin-related protein 1</t>
  </si>
  <si>
    <t>Aminoacyl tRNA synthase complex-interacting multifunctional protein 1</t>
  </si>
  <si>
    <t>Isoform 2 of Receptor-type tyrosine-protein phosphatase eta</t>
  </si>
  <si>
    <t>Delta(3,5)-Delta(2,4)-dienoyl-CoA isomerase, mitochondrial</t>
  </si>
  <si>
    <t>PDZK1-interacting protein 1</t>
  </si>
  <si>
    <t>Aminoacyl tRNA synthase complex-interacting multifunctional protein 2</t>
  </si>
  <si>
    <t>Peroxiredoxin-4</t>
  </si>
  <si>
    <t>Serine/threonine-protein kinase PAK 2</t>
  </si>
  <si>
    <t>Serine/threonine-protein kinase 3</t>
  </si>
  <si>
    <t>26S proteasome non-ATPase regulatory subunit 2</t>
  </si>
  <si>
    <t>DnaJ homolog subfamily C member 3</t>
  </si>
  <si>
    <t>Selenium-binding protein 1</t>
  </si>
  <si>
    <t>Nucleoside diphosphate kinase 3</t>
  </si>
  <si>
    <t>N-myc-interactor</t>
  </si>
  <si>
    <t>Butyrophilin subfamily 1 member A1</t>
  </si>
  <si>
    <t>Protein OS-9</t>
  </si>
  <si>
    <t>Isoform 10 of Disintegrin and metalloproteinase domain-containing protein 15</t>
  </si>
  <si>
    <t>Baculoviral IAP repeat-containing protein 3</t>
  </si>
  <si>
    <t>GDP-L-fucose synthase</t>
  </si>
  <si>
    <t>Isoform 2 of CD166 antigen</t>
  </si>
  <si>
    <t>Laminin subunit beta-3</t>
  </si>
  <si>
    <t>Isoform Short of Laminin subunit gamma-2</t>
  </si>
  <si>
    <t>Isoform 1 of Plakophilin-1</t>
  </si>
  <si>
    <t>Isopentenyl-diphosphate Delta-isomerase 1</t>
  </si>
  <si>
    <t>Cold-inducible RNA-binding protein</t>
  </si>
  <si>
    <t>Coactosin-like protein</t>
  </si>
  <si>
    <t>Dystroglycan</t>
  </si>
  <si>
    <t>Desmoglein-2</t>
  </si>
  <si>
    <t>Dihydropyrimidinase-related protein 3</t>
  </si>
  <si>
    <t>Cytoplasmic dynein 1 heavy chain 1</t>
  </si>
  <si>
    <t>Eukaryotic initiation factor 4A-II</t>
  </si>
  <si>
    <t>Src substrate cortactin</t>
  </si>
  <si>
    <t>Polypeptide N-acetylgalactosaminyltransferase 3</t>
  </si>
  <si>
    <t>WAP four-disulfide core domain protein 2</t>
  </si>
  <si>
    <t>Fibroblast growth factor-binding protein 1</t>
  </si>
  <si>
    <t>Isoform 2 of Hyaluronan-binding protein 2</t>
  </si>
  <si>
    <t>Phosphoribosyl pyrophosphate synthase-associated protein 1</t>
  </si>
  <si>
    <t>Inter-alpha-trypsin inhibitor heavy chain H4</t>
  </si>
  <si>
    <t>Plastin-1</t>
  </si>
  <si>
    <t>LDLR chaperone MESD</t>
  </si>
  <si>
    <t>Neutral alpha-glucosidase AB</t>
  </si>
  <si>
    <t>Isoform 2 of Neutral alpha-glucosidase AB</t>
  </si>
  <si>
    <t>Membrane-bound transcription factor site-1 protease</t>
  </si>
  <si>
    <t>Latent-transforming growth factor beta-binding protein 1</t>
  </si>
  <si>
    <t>Isoform 2 of Prostaglandin reductase 1</t>
  </si>
  <si>
    <t>Importin subunit beta-1</t>
  </si>
  <si>
    <t>Proteasome activator complex subunit 4</t>
  </si>
  <si>
    <t>Lysine--tRNA ligase</t>
  </si>
  <si>
    <t>Isoform Short of Eukaryotic translation initiation factor 4H</t>
  </si>
  <si>
    <t>Early endosome antigen 1</t>
  </si>
  <si>
    <t>Platelet-activating factor acetylhydrolase IB subunit gamma</t>
  </si>
  <si>
    <t>Procollagen C-endopeptidase enhancer 1</t>
  </si>
  <si>
    <t>Isoform 7 of Plectin</t>
  </si>
  <si>
    <t>Inorganic pyrophosphatase</t>
  </si>
  <si>
    <t>Isoform Gamma of Poliovirus receptor-related protein 1</t>
  </si>
  <si>
    <t>Nicotinate-nucleotide pyrophosphorylase [carboxylating]</t>
  </si>
  <si>
    <t>Reticulocalbin-1</t>
  </si>
  <si>
    <t>Poly(rC)-binding protein 1</t>
  </si>
  <si>
    <t>Isoform 4 of Ephrin type-A receptor 7</t>
  </si>
  <si>
    <t>Protein phosphatase 1 regulatory subunit 7</t>
  </si>
  <si>
    <t>Ficolin-2</t>
  </si>
  <si>
    <t>Isoform 2 of Na(+)/H(+) exchange regulatory cofactor NHE-RF2</t>
  </si>
  <si>
    <t>Sterol-4-alpha-carboxylate 3-dehydrogenase, decarboxylating</t>
  </si>
  <si>
    <t>Neutral amino acid transporter B(0)</t>
  </si>
  <si>
    <t>Isoform 3 of Chitinase-3-like protein 2</t>
  </si>
  <si>
    <t>Cystatin-M</t>
  </si>
  <si>
    <t>Syntaxin-binding protein 2</t>
  </si>
  <si>
    <t>Adiponectin</t>
  </si>
  <si>
    <t>V-type proton ATPase subunit S1</t>
  </si>
  <si>
    <t>Ras-related protein Rab-11B</t>
  </si>
  <si>
    <t>Isoform AGX1 of UDP-N-acetylhexosamine pyrophosphorylase</t>
  </si>
  <si>
    <t>Isoform 2 of Insulin-like growth factor-binding protein 7</t>
  </si>
  <si>
    <t>Isoform 2 of Solute carrier family 15 member 2</t>
  </si>
  <si>
    <t>Isoform 2 of Laminin subunit alpha-4</t>
  </si>
  <si>
    <t>Isoform 2 of 26S proteasome non-ATPase regulatory subunit 5</t>
  </si>
  <si>
    <t>Isoform 2 of Dihydropyrimidinase-related protein 2</t>
  </si>
  <si>
    <t>Extracellular matrix protein 1</t>
  </si>
  <si>
    <t>Isoform TrkB-T1 of BDNF/NT-3 growth factors receptor</t>
  </si>
  <si>
    <t>Isoform 5 of Occludin</t>
  </si>
  <si>
    <t>Prostasin</t>
  </si>
  <si>
    <t>Alpha-mannosidase 2</t>
  </si>
  <si>
    <t>Isoform 1 of Laminin subunit alpha-3</t>
  </si>
  <si>
    <t>UTP--glucose-1-phosphate uridylyltransferase</t>
  </si>
  <si>
    <t>Isoform 2 of UTP--glucose-1-phosphate uridylyltransferase</t>
  </si>
  <si>
    <t>Transmembrane protein 132A</t>
  </si>
  <si>
    <t>Leucine-rich repeat-containing protein 26</t>
  </si>
  <si>
    <t>HLA class I histocompatibility antigen, B-73 alpha chain</t>
  </si>
  <si>
    <t>Isoform 3 of Leucine-rich repeat flightless-interacting protein 1</t>
  </si>
  <si>
    <t>Prolyl 3-hydroxylase 1</t>
  </si>
  <si>
    <t>Nucleoside diphosphate kinase</t>
  </si>
  <si>
    <t>Bifunctional ATP-dependent dihydroxyacetone kinase/FAD-AMP lyase (cyclizing)</t>
  </si>
  <si>
    <t>Galectin-related protein</t>
  </si>
  <si>
    <t>Isoform 2 of Programmed cell death protein 4</t>
  </si>
  <si>
    <t>Quinone oxidoreductase PIG3</t>
  </si>
  <si>
    <t>Beta-lactamase-like protein 2</t>
  </si>
  <si>
    <t>Isoform 3 of Cytochrome b reductase 1</t>
  </si>
  <si>
    <t>Acid phosphatase prostate nirs variant 1</t>
  </si>
  <si>
    <t>Urotensin-2</t>
  </si>
  <si>
    <t>Metalloproteinase inhibitor 1</t>
  </si>
  <si>
    <t>Filamin-A</t>
  </si>
  <si>
    <t>Tubulin beta chain</t>
  </si>
  <si>
    <t>40S ribosomal protein S8</t>
  </si>
  <si>
    <t>Torsin-2A</t>
  </si>
  <si>
    <t>UDP-glucose 4-epimerase (Fragment)</t>
  </si>
  <si>
    <t>Acyl-protein thioesterase 2 (Fragment)</t>
  </si>
  <si>
    <t>Mitogen-activated protein kinase 13</t>
  </si>
  <si>
    <t>HLA class I histocompatibility antigen, alpha chain G</t>
  </si>
  <si>
    <t>Neural proliferation differentiation and control protein 1</t>
  </si>
  <si>
    <t>Apolipoprotein M</t>
  </si>
  <si>
    <t>Chimera CSNK2B-LY6G5B splicing isoform 1181</t>
  </si>
  <si>
    <t>Platelet-activating factor acetylhydrolase 2, cytoplasmic (Fragment)</t>
  </si>
  <si>
    <t>UMP-CMP kinase</t>
  </si>
  <si>
    <t>Isoform 3 of Formin-binding protein 1-like</t>
  </si>
  <si>
    <t>SH3 domain-binding glutamic acid-rich-like protein 3</t>
  </si>
  <si>
    <t>Kynurenine--oxoglutarate transaminase 1 (Fragment)</t>
  </si>
  <si>
    <t>V-set domain-containing T-cell activation inhibitor 1</t>
  </si>
  <si>
    <t>Annexin A1 (Fragment)</t>
  </si>
  <si>
    <t>Uroporphyrinogen decarboxylase (Fragment)</t>
  </si>
  <si>
    <t>Geranylgeranyl transferase type-2 subunit beta</t>
  </si>
  <si>
    <t>Serine--tRNA ligase, cytoplasmic</t>
  </si>
  <si>
    <t>Heterogeneous nuclear ribonucleoprotein K (Fragment)</t>
  </si>
  <si>
    <t>Keratinocyte proline-rich protein</t>
  </si>
  <si>
    <t>Skin-specific protein 32</t>
  </si>
  <si>
    <t>Monocarboxylate transporter 1 (Fragment)</t>
  </si>
  <si>
    <t>Glyoxylate reductase/hydroxypyruvate reductase</t>
  </si>
  <si>
    <t>Serine/threonine-protein phosphatase 2A activator (Fragment)</t>
  </si>
  <si>
    <t>Inter-alpha-trypsin inhibitor heavy chain H2</t>
  </si>
  <si>
    <t>Adenylate kinase isoenzyme 1</t>
  </si>
  <si>
    <t>Calcium-binding protein 39-like (Fragment)</t>
  </si>
  <si>
    <t>Semaphorin-4A (Fragment)</t>
  </si>
  <si>
    <t>Talin-1</t>
  </si>
  <si>
    <t>Eukaryotic translation initiation factor 3 subunit I (Fragment)</t>
  </si>
  <si>
    <t>Protocadherin 9</t>
  </si>
  <si>
    <t>Putative elongation factor 1-alpha-like 3</t>
  </si>
  <si>
    <t>Tropomyosin alpha-3 chain</t>
  </si>
  <si>
    <t>S-acyl fatty acid synthase thioesterase, medium chain</t>
  </si>
  <si>
    <t>Plasma retinol-binding protein(1-182)</t>
  </si>
  <si>
    <t>Complement factor H-related protein 5</t>
  </si>
  <si>
    <t>BRI2, membrane form</t>
  </si>
  <si>
    <t>Translationally-controlled tumor protein</t>
  </si>
  <si>
    <t>HLA class II histocompatibility antigen, DRB1-13 beta chain</t>
  </si>
  <si>
    <t>Carboxypeptidase Z</t>
  </si>
  <si>
    <t>Aspartate--tRNA ligase, cytoplasmic</t>
  </si>
  <si>
    <t>Natural cytotoxicity triggering receptor 3 ligand 1</t>
  </si>
  <si>
    <t>Vasorin</t>
  </si>
  <si>
    <t>Putative peptidyl-tRNA hydrolase PTRHD1</t>
  </si>
  <si>
    <t>Em:AP000351.3 protein</t>
  </si>
  <si>
    <t>Putative ankyrin repeat domain-containing protein 26-like protein</t>
  </si>
  <si>
    <t>APOC2 protein</t>
  </si>
  <si>
    <t>Isoform 3 of Endoplasmic reticulum aminopeptidase 2</t>
  </si>
  <si>
    <t>Isoform 2 of Protein CASC4</t>
  </si>
  <si>
    <t>UPF0762 protein C6orf58</t>
  </si>
  <si>
    <t>Uncharacterized protein C8orf47</t>
  </si>
  <si>
    <t>von Willebrand factor A domain-containing protein 1</t>
  </si>
  <si>
    <t>Sperm equatorial segment protein 1</t>
  </si>
  <si>
    <t>Suprabasin</t>
  </si>
  <si>
    <t>Olfactomedin-4</t>
  </si>
  <si>
    <t>Plexin domain-containing protein 2</t>
  </si>
  <si>
    <t>UDP-GlcNAc:betaGal beta-1,3-N-acetylglucosaminyltransferase 9</t>
  </si>
  <si>
    <t>Uncharacterized protein C6orf15</t>
  </si>
  <si>
    <t>VEGF co-regulated chemokine 1</t>
  </si>
  <si>
    <t>Nephronectin</t>
  </si>
  <si>
    <t>Transmembrane protein 92</t>
  </si>
  <si>
    <t>Mucin-6</t>
  </si>
  <si>
    <t>Chordin-like protein 2</t>
  </si>
  <si>
    <t>Isoform 2 of Chordin-like protein 2</t>
  </si>
  <si>
    <t>Sclerostin domain-containing protein 1</t>
  </si>
  <si>
    <t>Isoform 3 of CD109 antigen</t>
  </si>
  <si>
    <t>Isoform 3 of Kynurenine--oxoglutarate transaminase 3</t>
  </si>
  <si>
    <t>Solute carrier organic anion transporter family member 4C1</t>
  </si>
  <si>
    <t>F-box only protein 50</t>
  </si>
  <si>
    <t>Uncharacterized protein C1orf186</t>
  </si>
  <si>
    <t>Isoform 2 of Tubulin alpha-1A chain</t>
  </si>
  <si>
    <t>Staphylococcal nuclease domain-containing protein 1</t>
  </si>
  <si>
    <t>Isoform 2 of Basic leucine zipper and W2 domain-containing protein 1</t>
  </si>
  <si>
    <t>Isoaspartyl peptidase/L-asparaginase</t>
  </si>
  <si>
    <t>Charged multivesicular body protein 1b</t>
  </si>
  <si>
    <t>MAM domain-containing protein 2</t>
  </si>
  <si>
    <t>Isoform 2 of Transmembrane channel-like protein 4</t>
  </si>
  <si>
    <t>AP-2 complex subunit beta</t>
  </si>
  <si>
    <t>MAM domain-containing glycosylphosphatidylinositol anchor protein 2</t>
  </si>
  <si>
    <t>UPF0552 protein C15orf38</t>
  </si>
  <si>
    <t>Isoform 2 of E3 ubiquitin-protein ligase HUWE1</t>
  </si>
  <si>
    <t>Isoform 3 of Transmembrane emp24 domain-containing protein 4</t>
  </si>
  <si>
    <t>Isoform 2 of Multiple epidermal growth factor-like domains protein 8</t>
  </si>
  <si>
    <t>Polypeptide N-acetylgalactosaminyltransferase 5</t>
  </si>
  <si>
    <t>Isoform 2 of G-protein coupled receptor 126</t>
  </si>
  <si>
    <t>Isoform 2 of Kinectin</t>
  </si>
  <si>
    <t>TXNDC5 protein</t>
  </si>
  <si>
    <t>Integral membrane protein GPR180</t>
  </si>
  <si>
    <t>Cullin-associated NEDD8-dissociated protein 1</t>
  </si>
  <si>
    <t>Coiled-coil domain-containing protein 25</t>
  </si>
  <si>
    <t>Isoform 2 of Ras-specific guanine nucleotide-releasing factor RalGPS2</t>
  </si>
  <si>
    <t>Xylosyltransferase 1</t>
  </si>
  <si>
    <t>Syntaxin-12</t>
  </si>
  <si>
    <t>Adipocyte enhancer-binding protein 1</t>
  </si>
  <si>
    <t>Phospholipase D3</t>
  </si>
  <si>
    <t>Putative uncharacterized protein C1orf210</t>
  </si>
  <si>
    <t>Extracellular serine/threonine protein kinase FAM20C</t>
  </si>
  <si>
    <t>Ankyrin repeat domain-containing protein 13A</t>
  </si>
  <si>
    <t>Isoform 3 of Phosphatase and actin regulator 4</t>
  </si>
  <si>
    <t>Spartin</t>
  </si>
  <si>
    <t>Leucine-rich repeat-containing protein 47</t>
  </si>
  <si>
    <t>Prominin-2</t>
  </si>
  <si>
    <t>Glycerol-3-phosphate dehydrogenase 1-like protein</t>
  </si>
  <si>
    <t>Mucin-15</t>
  </si>
  <si>
    <t>Isoform 2 of Rho GTPase-activating protein 18</t>
  </si>
  <si>
    <t>Secreted frizzled-related protein 1</t>
  </si>
  <si>
    <t>Isoform 2 of Discoidin, CUB and LCCL domain-containing protein 1</t>
  </si>
  <si>
    <t>Tandem C2 domains nuclear protein</t>
  </si>
  <si>
    <t>NHL repeat-containing protein 2</t>
  </si>
  <si>
    <t>Isoform 2 of Golgi membrane protein 1</t>
  </si>
  <si>
    <t>Isoform 4 of Plasminogen activator inhibitor 1 RNA-binding protein</t>
  </si>
  <si>
    <t>Group XV phospholipase A2</t>
  </si>
  <si>
    <t>Polypeptide N-acetylgalactosaminyltransferase 6</t>
  </si>
  <si>
    <t>Isoform 2 of Protein FAM83F</t>
  </si>
  <si>
    <t>Isoform 3 of Beta-1,3-N-acetylglucosaminyltransferase lunatic fringe</t>
  </si>
  <si>
    <t>UDP-GlcNAc:betaGal beta-1,3-N-acetylglucosaminyltransferase 7</t>
  </si>
  <si>
    <t>Delta and Notch-like epidermal growth factor-related receptor</t>
  </si>
  <si>
    <t>Follicular dendritic cell secreted peptide</t>
  </si>
  <si>
    <t>Cell adhesion molecule 4</t>
  </si>
  <si>
    <t>Small VCP/p97-interacting protein</t>
  </si>
  <si>
    <t>Putative trypsin-6</t>
  </si>
  <si>
    <t>Putative phospholipase B-like 2</t>
  </si>
  <si>
    <t>Isoform 2 of Multiple coagulation factor deficiency protein 2</t>
  </si>
  <si>
    <t>T-cell immunomodulatory protein</t>
  </si>
  <si>
    <t>Membrane protein FAM174A</t>
  </si>
  <si>
    <t>D-tyrosyl-tRNA(Tyr) deacylase 1</t>
  </si>
  <si>
    <t>Tsukushin</t>
  </si>
  <si>
    <t>UPF0444 transmembrane protein C12orf23</t>
  </si>
  <si>
    <t>Programmed cell death 6-interacting protein</t>
  </si>
  <si>
    <t>TGFB3 protein</t>
  </si>
  <si>
    <t>40S ribosomal protein S21</t>
  </si>
  <si>
    <t>Soluble calcium-activated nucleotidase 1</t>
  </si>
  <si>
    <t>Ubiquitin-like domain-containing CTD phosphatase 1</t>
  </si>
  <si>
    <t>Isoform 5 of Sodium/myo-inositol cotransporter 2</t>
  </si>
  <si>
    <t>Selenoprotein M</t>
  </si>
  <si>
    <t>Isoform CDV-1 of Intraflagellar transport protein 81 homolog</t>
  </si>
  <si>
    <t>Galectin-9</t>
  </si>
  <si>
    <t>Protein LZIC</t>
  </si>
  <si>
    <t>Immunity-related GTPase family Q protein</t>
  </si>
  <si>
    <t>Acid sphingomyelinase-like phosphodiesterase 3b</t>
  </si>
  <si>
    <t>ATP-dependent RNA helicase DDX1</t>
  </si>
  <si>
    <t>Protein FAM3C</t>
  </si>
  <si>
    <t>Protein NDRG1</t>
  </si>
  <si>
    <t>Isoform Beta of Heat shock protein 105 kDa</t>
  </si>
  <si>
    <t>Peroxidasin homolog</t>
  </si>
  <si>
    <t>Sortilin-related receptor</t>
  </si>
  <si>
    <t>Isoform Alpha of Poliovirus receptor-related protein 2</t>
  </si>
  <si>
    <t>Actin-related protein 2/3 complex subunit 1A</t>
  </si>
  <si>
    <t>Gamma-glutamyl hydrolase</t>
  </si>
  <si>
    <t>Isoform 3 of Neogenin</t>
  </si>
  <si>
    <t>Kallikrein-6</t>
  </si>
  <si>
    <t>Osteoclast-stimulating factor 1</t>
  </si>
  <si>
    <t>Golgi apparatus protein 1</t>
  </si>
  <si>
    <t>Homogentisate 1,2-dioxygenase</t>
  </si>
  <si>
    <t>HLA class I histocompatibility antigen, Cw-17 alpha chain</t>
  </si>
  <si>
    <t>Isoform 3 of Immunoglobulin superfamily member 8</t>
  </si>
  <si>
    <t>SPRY domain-containing SOCS box protein 4</t>
  </si>
  <si>
    <t>Leucine-rich repeat-containing protein 59</t>
  </si>
  <si>
    <t>Isoform 2 of Cyclic AMP-responsive element-binding protein 3-like protein 1</t>
  </si>
  <si>
    <t>EF-hand domain-containing protein D2</t>
  </si>
  <si>
    <t>Charged multivesicular body protein 4c</t>
  </si>
  <si>
    <t>Isochorismatase domain-containing protein 1</t>
  </si>
  <si>
    <t>Zymogen granule protein 16 homolog B</t>
  </si>
  <si>
    <t>Isoform 3 of U8 snoRNA-decapping enzyme</t>
  </si>
  <si>
    <t>Isoform 2 of Endoplasmic reticulum lectin 1</t>
  </si>
  <si>
    <t>C1GALT1-specific chaperone 1</t>
  </si>
  <si>
    <t>Isoform 4 of Phosphoinositide-3-kinase-interacting protein 1</t>
  </si>
  <si>
    <t>Protein S100-A16</t>
  </si>
  <si>
    <t>Phosphoglucomutase-2</t>
  </si>
  <si>
    <t>Cysteine-rich with EGF-like domain protein 1</t>
  </si>
  <si>
    <t>ERO1-like protein alpha</t>
  </si>
  <si>
    <t>Isoform 2 of DDRGK domain-containing protein 1</t>
  </si>
  <si>
    <t>Mannose-1-phosphate guanyltransferase alpha</t>
  </si>
  <si>
    <t>Carboxypeptidase B2</t>
  </si>
  <si>
    <t>Isoform 2 of Ubiquitin carboxyl-terminal hydrolase 47</t>
  </si>
  <si>
    <t>Protein FAM84B</t>
  </si>
  <si>
    <t>Cytosolic non-specific dipeptidase</t>
  </si>
  <si>
    <t>EPH receptor B4, isoform CRA_b</t>
  </si>
  <si>
    <t>Dehydrogenase/reductase SDR family member 1</t>
  </si>
  <si>
    <t>Isoform 4 of Protein PRRC1</t>
  </si>
  <si>
    <t>Isoform 2 of Adenosine deaminase domain-containing protein 1</t>
  </si>
  <si>
    <t>Protein FAM20A</t>
  </si>
  <si>
    <t>Poliovirus receptor-related protein 4</t>
  </si>
  <si>
    <t>N-acetylmuramoyl-L-alanine amidase</t>
  </si>
  <si>
    <t>Perilipin-4</t>
  </si>
  <si>
    <t>Vacuolar protein sorting-associated protein 35</t>
  </si>
  <si>
    <t>Transcriptional activator protein Pur-beta</t>
  </si>
  <si>
    <t>Isoform 3 of Sorting nexin-18</t>
  </si>
  <si>
    <t>Phosphatidylethanolamine-binding protein 4</t>
  </si>
  <si>
    <t>Isoform 2 of Niban-like protein 1</t>
  </si>
  <si>
    <t>Proteasome subunit beta type-7</t>
  </si>
  <si>
    <t>Isoform 3 of Ethanolamine-phosphate cytidylyltransferase</t>
  </si>
  <si>
    <t>26S proteasome non-ATPase regulatory subunit 1</t>
  </si>
  <si>
    <t>Protein DJ-1</t>
  </si>
  <si>
    <t>Sialidase-1</t>
  </si>
  <si>
    <t>Sortilin</t>
  </si>
  <si>
    <t>Synaptic vesicle membrane protein VAT-1 homolog</t>
  </si>
  <si>
    <t>Legumain</t>
  </si>
  <si>
    <t>Perilipin-2</t>
  </si>
  <si>
    <t>Neuroserpin</t>
  </si>
  <si>
    <t>Protein S100-A13</t>
  </si>
  <si>
    <t>Oncostatin-M-specific receptor subunit beta</t>
  </si>
  <si>
    <t>Cell growth regulator with EF hand domain protein 1</t>
  </si>
  <si>
    <t>Metalloproteinase inhibitor 4</t>
  </si>
  <si>
    <t>Transmembrane 9 superfamily member 2</t>
  </si>
  <si>
    <t>Calcium and integrin-binding protein 1</t>
  </si>
  <si>
    <t>Isoform 3 of T-complex protein 1 subunit eta</t>
  </si>
  <si>
    <t>Histone H2A type 1-J</t>
  </si>
  <si>
    <t>Isoform 1 of Cyclic AMP-dependent transcription factor ATF-6 beta</t>
  </si>
  <si>
    <t>Actin-related protein 2/3 complex subunit 5-like protein</t>
  </si>
  <si>
    <t>Coronin-1B</t>
  </si>
  <si>
    <t>Thioredoxin domain-containing protein 17</t>
  </si>
  <si>
    <t>45 kDa calcium-binding protein</t>
  </si>
  <si>
    <t>Endoplasmic reticulum resident protein 44</t>
  </si>
  <si>
    <t>Latexin</t>
  </si>
  <si>
    <t>Protease-associated domain-containing protein 1</t>
  </si>
  <si>
    <t>Haloacid dehalogenase-like hydrolase domain-containing protein 3</t>
  </si>
  <si>
    <t>Extended synaptotagmin-1</t>
  </si>
  <si>
    <t>Plasma alpha-L-fucosidase</t>
  </si>
  <si>
    <t>PRKAR2A protein</t>
  </si>
  <si>
    <t>Tubulin beta-6 chain</t>
  </si>
  <si>
    <t>Protein crumbs homolog 3</t>
  </si>
  <si>
    <t>EF-hand domain-containing protein D1</t>
  </si>
  <si>
    <t>Transmembrane protein 109</t>
  </si>
  <si>
    <t>Protein PBDC1</t>
  </si>
  <si>
    <t>Dual specificity protein phosphatase 23</t>
  </si>
  <si>
    <t>Specifically androgen-regulated gene protein</t>
  </si>
  <si>
    <t>Acetyl-CoA acetyltransferase, cytosolic</t>
  </si>
  <si>
    <t>Complement C1q tumor necrosis factor-related protein 1</t>
  </si>
  <si>
    <t>Isoform 2 of Cell adhesion molecule 1</t>
  </si>
  <si>
    <t>Angiopoietin-related protein 4</t>
  </si>
  <si>
    <t>Angiotensin-converting enzyme 2</t>
  </si>
  <si>
    <t>Transmembrane gamma-carboxyglutamic acid protein 4</t>
  </si>
  <si>
    <t>Isoform 3 of Tubulointerstitial nephritis antigen-like</t>
  </si>
  <si>
    <t>Brain-specific serine protease 4</t>
  </si>
  <si>
    <t>Isoform 2 of Platelet-derived growth factor D</t>
  </si>
  <si>
    <t>Toll-interacting protein</t>
  </si>
  <si>
    <t>Ras-related protein Rab-6C</t>
  </si>
  <si>
    <t>Protein FAM49A</t>
  </si>
  <si>
    <t>Ras-related protein Rab-1B</t>
  </si>
  <si>
    <t>Isoform 3 of Ester hydrolase C11orf54</t>
  </si>
  <si>
    <t>Protein ITFG3</t>
  </si>
  <si>
    <t>Nucleotide exchange factor SIL1</t>
  </si>
  <si>
    <t>Cysteine-rich and transmembrane domain-containing protein 1</t>
  </si>
  <si>
    <t>Isoform 3 of Regulator of nonsense transcripts 3A</t>
  </si>
  <si>
    <t>Isoform 3 of DnaJ homolog subfamily C member 25</t>
  </si>
  <si>
    <t>EH domain-containing protein 4</t>
  </si>
  <si>
    <t>Uncharacterized protein C1orf21</t>
  </si>
  <si>
    <t>Isoform 3 of Caspase recruitment domain-containing protein 9</t>
  </si>
  <si>
    <t>Isoform 2 of STE20-like serine/threonine-protein kinase</t>
  </si>
  <si>
    <t>Serine/threonine-protein kinase TAO3</t>
  </si>
  <si>
    <t>Small conductance calcium-activated potassium channel protein 2</t>
  </si>
  <si>
    <t>Probable serine carboxypeptidase CPVL</t>
  </si>
  <si>
    <t>BolA-like protein 2</t>
  </si>
  <si>
    <t>Isoform 2 of DnaJ homolog subfamily C member 5</t>
  </si>
  <si>
    <t>Charged multivesicular body protein 4b</t>
  </si>
  <si>
    <t>Fructosamine-3-kinase</t>
  </si>
  <si>
    <t>SPARC-related modular calcium-binding protein 1</t>
  </si>
  <si>
    <t>Golgi-associated plant pathogenesis-related protein 1</t>
  </si>
  <si>
    <t>Epidermal growth factor receptor kinase substrate 8-like protein 2</t>
  </si>
  <si>
    <t>UPF0454 protein C12orf49</t>
  </si>
  <si>
    <t>Gremlin-2</t>
  </si>
  <si>
    <t>dCTP pyrophosphatase 1</t>
  </si>
  <si>
    <t>Transmembrane protein 206</t>
  </si>
  <si>
    <t>MANSC domain-containing protein 1</t>
  </si>
  <si>
    <t>Isoform 2 of Protein FAM188A</t>
  </si>
  <si>
    <t>MOB kinase activator 1A</t>
  </si>
  <si>
    <t>Phosphopantothenate--cysteine ligase</t>
  </si>
  <si>
    <t>Sialate O-acetylesterase</t>
  </si>
  <si>
    <t>Guanine nucleotide-binding protein subunit beta-4</t>
  </si>
  <si>
    <t>Retinoid-inducible serine carboxypeptidase</t>
  </si>
  <si>
    <t>Isoform 3 of Netrin-4</t>
  </si>
  <si>
    <t>Isoform 3 of Calcyclin-binding protein</t>
  </si>
  <si>
    <t>Putative sodium-coupled neutral amino acid transporter 10</t>
  </si>
  <si>
    <t>Isoform 2 of Glyoxalase domain-containing protein 4</t>
  </si>
  <si>
    <t>WAP four-disulfide core domain protein 1</t>
  </si>
  <si>
    <t>Spondin-1</t>
  </si>
  <si>
    <t>Cadherin EGF LAG seven-pass G-type receptor 2</t>
  </si>
  <si>
    <t>Protein S100-A14</t>
  </si>
  <si>
    <t>Ras-related protein Rab-18</t>
  </si>
  <si>
    <t>Histidine triad nucleotide-binding protein 3</t>
  </si>
  <si>
    <t>Omega-amidase NIT2</t>
  </si>
  <si>
    <t>Kinesin-like protein KIF13B</t>
  </si>
  <si>
    <t>Isoform 2 of Xaa-Pro aminopeptidase 1</t>
  </si>
  <si>
    <t>Isoform 3 of Scavenger receptor cysteine-rich type 1 protein M160</t>
  </si>
  <si>
    <t>Acetyl-coenzyme A synthetase, cytoplasmic</t>
  </si>
  <si>
    <t>GTP-binding protein SAR1a</t>
  </si>
  <si>
    <t>Sialic acid synthase</t>
  </si>
  <si>
    <t>Matrix-remodeling-associated protein 5</t>
  </si>
  <si>
    <t>Ubiquilin-4</t>
  </si>
  <si>
    <t>CDC42 small effector protein 1</t>
  </si>
  <si>
    <t>Heme-binding protein 1</t>
  </si>
  <si>
    <t>Phenylalanine--tRNA ligase beta subunit</t>
  </si>
  <si>
    <t>Isoform 2 of Ubiquitin-like-conjugating enzyme ATG3</t>
  </si>
  <si>
    <t>Isoform 6 of Ethylmalonyl-CoA decarboxylase</t>
  </si>
  <si>
    <t>Coiled-coil domain-containing protein 87</t>
  </si>
  <si>
    <t>Protein eva-1 homolog B</t>
  </si>
  <si>
    <t>Protein FAM49B</t>
  </si>
  <si>
    <t>Poly(ADP-ribose) glycohydrolase ARH3</t>
  </si>
  <si>
    <t>Huntingtin-interacting protein K</t>
  </si>
  <si>
    <t>Inositol monophosphatase 3</t>
  </si>
  <si>
    <t>Stabilin-1</t>
  </si>
  <si>
    <t>Isoform 2 of UDP-GlcNAc:betaGal beta-1,3-N-acetylglucosaminyltransferase 2</t>
  </si>
  <si>
    <t>Protocadherin Fat 2</t>
  </si>
  <si>
    <t>Isoform 2 of UDP-glucose:glycoprotein glucosyltransferase 1</t>
  </si>
  <si>
    <t>Endoplasmic reticulum aminopeptidase 1</t>
  </si>
  <si>
    <t>Group 3 secretory phospholipase A2</t>
  </si>
  <si>
    <t>Eukaryotic translation initiation factor 2-alpha kinase 3</t>
  </si>
  <si>
    <t>Complement C1r subcomponent-like protein</t>
  </si>
  <si>
    <t>Calmodulin-like protein 5</t>
  </si>
  <si>
    <t>Cysteine-rich motor neuron 1 protein</t>
  </si>
  <si>
    <t>Isoform 2 of Charged multivesicular body protein 5</t>
  </si>
  <si>
    <t>JNK1/MAPK8-associated membrane protein</t>
  </si>
  <si>
    <t>Vesicle-associated membrane protein-associated protein A</t>
  </si>
  <si>
    <t>Cytochrome c oxidase assembly protein COX16 homolog, mitochondrial</t>
  </si>
  <si>
    <t>Costars family protein ABRACL</t>
  </si>
  <si>
    <t>Prostaglandin F2 receptor negative regulator</t>
  </si>
  <si>
    <t>Isoform 1 of Ribosome-binding protein 1</t>
  </si>
  <si>
    <t>Thioredoxin domain-containing protein 16</t>
  </si>
  <si>
    <t>Dolichol-phosphate mannosyltransferase subunit 3</t>
  </si>
  <si>
    <t>Guanine nucleotide-binding protein G(I)/G(S)/G(O) subunit gamma-12</t>
  </si>
  <si>
    <t>Cathepsin Z</t>
  </si>
  <si>
    <t>DnaJ homolog subfamily B member 9</t>
  </si>
  <si>
    <t>Cathepsin F</t>
  </si>
  <si>
    <t>Myelin protein zero-like protein 1 (Fragment)</t>
  </si>
  <si>
    <t>Interleukin-19</t>
  </si>
  <si>
    <t>Isoform 3 of Septin-9</t>
  </si>
  <si>
    <t>ProSAAS</t>
  </si>
  <si>
    <t>A disintegrin and metalloproteinase with thrombospondin motifs 1</t>
  </si>
  <si>
    <t>Dipeptidyl peptidase 2</t>
  </si>
  <si>
    <t>Prefoldin subunit 2</t>
  </si>
  <si>
    <t>N-acetylglucosamine-1-phosphotransferase subunit gamma</t>
  </si>
  <si>
    <t>Isoform 2 of Dynactin subunit 4</t>
  </si>
  <si>
    <t>Protein kinase C and casein kinase substrate in neurons protein 3</t>
  </si>
  <si>
    <t>Protein CDV3 homolog</t>
  </si>
  <si>
    <t>Ras-related protein Rab-21</t>
  </si>
  <si>
    <t>Ras-related protein Rab-22A</t>
  </si>
  <si>
    <t>Malignant T-cell-amplified sequence 1</t>
  </si>
  <si>
    <t>YEATS domain-containing protein 2</t>
  </si>
  <si>
    <t>Isoform 2 of Apoptosis-associated speck-like protein containing a CARD</t>
  </si>
  <si>
    <t>Isoform 2 of Ubiquilin-1</t>
  </si>
  <si>
    <t>Neudesin</t>
  </si>
  <si>
    <t>Isoform 2 of Sorting nexin-12</t>
  </si>
  <si>
    <t>Isoform 4 of Protocadherin gamma-C3</t>
  </si>
  <si>
    <t>Sodium- and chloride-dependent neutral and basic amino acid transporter B(0+)</t>
  </si>
  <si>
    <t>Isoform 2 of Protein kinase C and casein kinase substrate in neurons protein 2</t>
  </si>
  <si>
    <t>26S proteasome non-ATPase regulatory subunit 13</t>
  </si>
  <si>
    <t>Isoform 2 of ATP-binding cassette sub-family G member 2</t>
  </si>
  <si>
    <t>Multiple inositol polyphosphate phosphatase 1</t>
  </si>
  <si>
    <t>Proliferation-associated protein 2G4</t>
  </si>
  <si>
    <t>Nuclear migration protein nudC</t>
  </si>
  <si>
    <t>UDP-GlcNAc:betaGal beta-1,3-N-acetylglucosaminyltransferase 3</t>
  </si>
  <si>
    <t>Protein canopy homolog 2</t>
  </si>
  <si>
    <t>Isoform 2 of Lambda-crystallin homolog</t>
  </si>
  <si>
    <t>Calcium-regulated heat stable protein 1</t>
  </si>
  <si>
    <t>Isoform 2 of Suppressor of G2 allele of SKP1 homolog</t>
  </si>
  <si>
    <t>Calcium-binding protein 39</t>
  </si>
  <si>
    <t>Ribosome maturation protein SBDS</t>
  </si>
  <si>
    <t>Isoform 2 of Transmembrane emp24 domain-containing protein 7</t>
  </si>
  <si>
    <t>Ubiquitin-fold modifier-conjugating enzyme 1</t>
  </si>
  <si>
    <t>Mitochondrial fission 1 protein</t>
  </si>
  <si>
    <t>Isoform 4 of Charged multivesicular body protein 3</t>
  </si>
  <si>
    <t>Protocadherin beta-4</t>
  </si>
  <si>
    <t>Mannose-1-phosphate guanyltransferase beta</t>
  </si>
  <si>
    <t>Sorting nexin-5</t>
  </si>
  <si>
    <t>Endothelial lipase</t>
  </si>
  <si>
    <t>Suppressor of tumorigenicity 14 protein</t>
  </si>
  <si>
    <t>Heme-binding protein 2</t>
  </si>
  <si>
    <t>Phosphoserine aminotransferase</t>
  </si>
  <si>
    <t>Carboxypeptidase Q</t>
  </si>
  <si>
    <t>Isoform 2 of G-protein coupled receptor 56</t>
  </si>
  <si>
    <t>Coatomer subunit gamma-1</t>
  </si>
  <si>
    <t>Ancient ubiquitous protein 1</t>
  </si>
  <si>
    <t>Chloride intracellular channel protein 4</t>
  </si>
  <si>
    <t>GTP-binding protein SAR1b</t>
  </si>
  <si>
    <t>Serine/threonine-protein kinase 24</t>
  </si>
  <si>
    <t>IgGFc-binding protein</t>
  </si>
  <si>
    <t>Bis(5-adenosyl)-triphosphatase ENPP4</t>
  </si>
  <si>
    <t>Lymphocyte antigen 96</t>
  </si>
  <si>
    <t>Alpha-centractin</t>
  </si>
  <si>
    <t>YTH domain family protein 3</t>
  </si>
  <si>
    <t>Thiosulfate sulfurtransferase/rhodanese-like domain-containing protein 1</t>
  </si>
  <si>
    <t>UBA6</t>
  </si>
  <si>
    <t>IGLC7</t>
  </si>
  <si>
    <t>KIAA1598</t>
  </si>
  <si>
    <t>STMN1</t>
  </si>
  <si>
    <t>NQO2</t>
  </si>
  <si>
    <t>PRNP</t>
  </si>
  <si>
    <t>VEGFA</t>
  </si>
  <si>
    <t>LIPH</t>
  </si>
  <si>
    <t>NBL1</t>
  </si>
  <si>
    <t>BPNT1</t>
  </si>
  <si>
    <t>SPTAN1</t>
  </si>
  <si>
    <t>IGHV4OR15-8</t>
  </si>
  <si>
    <t>USP14</t>
  </si>
  <si>
    <t>EIF1AY</t>
  </si>
  <si>
    <t>NUDT5</t>
  </si>
  <si>
    <t>RNPEP</t>
  </si>
  <si>
    <t>ENSA</t>
  </si>
  <si>
    <t>CD9</t>
  </si>
  <si>
    <t>PSMD4</t>
  </si>
  <si>
    <t>FAM3A</t>
  </si>
  <si>
    <t>MAPK1</t>
  </si>
  <si>
    <t>FAM3B</t>
  </si>
  <si>
    <t>PPP5C</t>
  </si>
  <si>
    <t>HOOK1</t>
  </si>
  <si>
    <t>TUBA4A</t>
  </si>
  <si>
    <t>RPL7</t>
  </si>
  <si>
    <t>CARS</t>
  </si>
  <si>
    <t>ALDOC</t>
  </si>
  <si>
    <t>GSTP1</t>
  </si>
  <si>
    <t>SUMF2</t>
  </si>
  <si>
    <t>SEC13</t>
  </si>
  <si>
    <t>KLC2</t>
  </si>
  <si>
    <t>STRAP</t>
  </si>
  <si>
    <t>CCDC134</t>
  </si>
  <si>
    <t>BAIAP2L2</t>
  </si>
  <si>
    <t>CCHCR1</t>
  </si>
  <si>
    <t>HLA-C</t>
  </si>
  <si>
    <t>VARS</t>
  </si>
  <si>
    <t>PSMB9</t>
  </si>
  <si>
    <t>HLA-DPB1</t>
  </si>
  <si>
    <t>APOC3</t>
  </si>
  <si>
    <t>ARCN1</t>
  </si>
  <si>
    <t>VIM</t>
  </si>
  <si>
    <t>PSMD10</t>
  </si>
  <si>
    <t>CAPZB</t>
  </si>
  <si>
    <t>CROCC</t>
  </si>
  <si>
    <t>PEA15</t>
  </si>
  <si>
    <t>POSTN</t>
  </si>
  <si>
    <t>PRSS3</t>
  </si>
  <si>
    <t>C1orf123</t>
  </si>
  <si>
    <t>MUC1</t>
  </si>
  <si>
    <t>KCTD14</t>
  </si>
  <si>
    <t>SEC14L2</t>
  </si>
  <si>
    <t>PLTP</t>
  </si>
  <si>
    <t>SOD2</t>
  </si>
  <si>
    <t>FNTA</t>
  </si>
  <si>
    <t>QDPR</t>
  </si>
  <si>
    <t>HARS</t>
  </si>
  <si>
    <t>DBNL</t>
  </si>
  <si>
    <t>SMS</t>
  </si>
  <si>
    <t>SNX2</t>
  </si>
  <si>
    <t>CCT8</t>
  </si>
  <si>
    <t>CD33</t>
  </si>
  <si>
    <t>NAPG</t>
  </si>
  <si>
    <t>TGM2</t>
  </si>
  <si>
    <t>PADI2</t>
  </si>
  <si>
    <t>RAB5A</t>
  </si>
  <si>
    <t>SNX6</t>
  </si>
  <si>
    <t>LSR</t>
  </si>
  <si>
    <t>PCBP2</t>
  </si>
  <si>
    <t>STC1</t>
  </si>
  <si>
    <t>MAT2A</t>
  </si>
  <si>
    <t>ACY1</t>
  </si>
  <si>
    <t>SFTPA1</t>
  </si>
  <si>
    <t>CNBP</t>
  </si>
  <si>
    <t>GGT6</t>
  </si>
  <si>
    <t>CPPED1</t>
  </si>
  <si>
    <t>ABHD14B</t>
  </si>
  <si>
    <t>PGD</t>
  </si>
  <si>
    <t>CARKD</t>
  </si>
  <si>
    <t>HIST2H2BF</t>
  </si>
  <si>
    <t>YKT6</t>
  </si>
  <si>
    <t>ZDHHC20</t>
  </si>
  <si>
    <t>ABI3BP</t>
  </si>
  <si>
    <t>ANXA7</t>
  </si>
  <si>
    <t>MTAP</t>
  </si>
  <si>
    <t>EIF3J</t>
  </si>
  <si>
    <t>CCT3</t>
  </si>
  <si>
    <t>QARS</t>
  </si>
  <si>
    <t>PNPO</t>
  </si>
  <si>
    <t>PBXIP1</t>
  </si>
  <si>
    <t>CFB</t>
  </si>
  <si>
    <t>GPC4</t>
  </si>
  <si>
    <t>LAMP2</t>
  </si>
  <si>
    <t>STOM</t>
  </si>
  <si>
    <t>GNAI2</t>
  </si>
  <si>
    <t>SPARCL1</t>
  </si>
  <si>
    <t>IGFBP4</t>
  </si>
  <si>
    <t>PDGFC</t>
  </si>
  <si>
    <t>CECR1</t>
  </si>
  <si>
    <t>TCN2</t>
  </si>
  <si>
    <t>DDT</t>
  </si>
  <si>
    <t>EPCAM</t>
  </si>
  <si>
    <t>TSPAN9</t>
  </si>
  <si>
    <t>PYCRL</t>
  </si>
  <si>
    <t>KIF26B</t>
  </si>
  <si>
    <t>NTM</t>
  </si>
  <si>
    <t>ATP6V1A</t>
  </si>
  <si>
    <t>PDIA6</t>
  </si>
  <si>
    <t>ALAD</t>
  </si>
  <si>
    <t>DNASE2</t>
  </si>
  <si>
    <t>RPN1</t>
  </si>
  <si>
    <t>DNAJA1</t>
  </si>
  <si>
    <t>SCFD1</t>
  </si>
  <si>
    <t>F11R</t>
  </si>
  <si>
    <t>SMPDL3A</t>
  </si>
  <si>
    <t>ETF1</t>
  </si>
  <si>
    <t>GPRC5B</t>
  </si>
  <si>
    <t>FETUB</t>
  </si>
  <si>
    <t>CTPS1</t>
  </si>
  <si>
    <t>CCT4</t>
  </si>
  <si>
    <t>ITIH4</t>
  </si>
  <si>
    <t>FAM150A</t>
  </si>
  <si>
    <t>PPIL3</t>
  </si>
  <si>
    <t>RPL31</t>
  </si>
  <si>
    <t>PTMA</t>
  </si>
  <si>
    <t>VAMP8</t>
  </si>
  <si>
    <t>TCEB2</t>
  </si>
  <si>
    <t>IGLL5</t>
  </si>
  <si>
    <t>SHISA5</t>
  </si>
  <si>
    <t>PSMD6</t>
  </si>
  <si>
    <t>CUTA</t>
  </si>
  <si>
    <t>CSTA</t>
  </si>
  <si>
    <t>RAB17</t>
  </si>
  <si>
    <t>IL1RAP</t>
  </si>
  <si>
    <t>EHD1</t>
  </si>
  <si>
    <t>SLC22A23</t>
  </si>
  <si>
    <t>PDCD10</t>
  </si>
  <si>
    <t>IL1R1</t>
  </si>
  <si>
    <t>IGFBP1</t>
  </si>
  <si>
    <t>FAM107B</t>
  </si>
  <si>
    <t>APOBR</t>
  </si>
  <si>
    <t>ATP6V1E1</t>
  </si>
  <si>
    <t>RARRES2</t>
  </si>
  <si>
    <t>NAPRT1</t>
  </si>
  <si>
    <t>RHEB</t>
  </si>
  <si>
    <t>RPSA</t>
  </si>
  <si>
    <t>RPE</t>
  </si>
  <si>
    <t>LASP1</t>
  </si>
  <si>
    <t>MYOF</t>
  </si>
  <si>
    <t>LSP1</t>
  </si>
  <si>
    <t>C1GALT1</t>
  </si>
  <si>
    <t>FGG</t>
  </si>
  <si>
    <t>AZGP1</t>
  </si>
  <si>
    <t>NAGK</t>
  </si>
  <si>
    <t>APOD</t>
  </si>
  <si>
    <t>GPS1</t>
  </si>
  <si>
    <t>PTPRZ1</t>
  </si>
  <si>
    <t>EPHA4</t>
  </si>
  <si>
    <t>TYMP</t>
  </si>
  <si>
    <t>CRYZ</t>
  </si>
  <si>
    <t>ACVR1</t>
  </si>
  <si>
    <t>PBLD</t>
  </si>
  <si>
    <t>PSAP</t>
  </si>
  <si>
    <t>CBS</t>
  </si>
  <si>
    <t>TFG</t>
  </si>
  <si>
    <t>IFNAR1</t>
  </si>
  <si>
    <t>KIAA0319L</t>
  </si>
  <si>
    <t>RPL24</t>
  </si>
  <si>
    <t>NRCAM</t>
  </si>
  <si>
    <t>BTN3A3</t>
  </si>
  <si>
    <t>AK4</t>
  </si>
  <si>
    <t>EPN3</t>
  </si>
  <si>
    <t>COPB2</t>
  </si>
  <si>
    <t>RPS3A</t>
  </si>
  <si>
    <t>SLC9B2</t>
  </si>
  <si>
    <t>NAAA</t>
  </si>
  <si>
    <t>ENOPH1</t>
  </si>
  <si>
    <t>COPS4</t>
  </si>
  <si>
    <t>LMAN2</t>
  </si>
  <si>
    <t>EIF4E</t>
  </si>
  <si>
    <t>CCL28</t>
  </si>
  <si>
    <t>RPS23</t>
  </si>
  <si>
    <t>HNRNPD</t>
  </si>
  <si>
    <t>UBE2K</t>
  </si>
  <si>
    <t>SEPT11</t>
  </si>
  <si>
    <t>PAIP1</t>
  </si>
  <si>
    <t>IDUA</t>
  </si>
  <si>
    <t>FAM153A</t>
  </si>
  <si>
    <t>SEPP1</t>
  </si>
  <si>
    <t>PAICS</t>
  </si>
  <si>
    <t>CYB5B</t>
  </si>
  <si>
    <t>TWF2</t>
  </si>
  <si>
    <t>ABCE1</t>
  </si>
  <si>
    <t>IL7R</t>
  </si>
  <si>
    <t>RNASET2</t>
  </si>
  <si>
    <t>HMGCS1</t>
  </si>
  <si>
    <t>AHCYL2</t>
  </si>
  <si>
    <t>C1orf198</t>
  </si>
  <si>
    <t>CSNK1A1</t>
  </si>
  <si>
    <t>LYPLA1</t>
  </si>
  <si>
    <t>PFDN1</t>
  </si>
  <si>
    <t>NCALD</t>
  </si>
  <si>
    <t>OXR1</t>
  </si>
  <si>
    <t>DCTN6</t>
  </si>
  <si>
    <t>EIF3E</t>
  </si>
  <si>
    <t>TBCA</t>
  </si>
  <si>
    <t>SDC2</t>
  </si>
  <si>
    <t>RWDD1</t>
  </si>
  <si>
    <t>SKP1</t>
  </si>
  <si>
    <t>MTDH</t>
  </si>
  <si>
    <t>CTHRC1</t>
  </si>
  <si>
    <t>COPS6</t>
  </si>
  <si>
    <t>SWAP70</t>
  </si>
  <si>
    <t>DNPEP</t>
  </si>
  <si>
    <t>DIAPH1</t>
  </si>
  <si>
    <t>PROC</t>
  </si>
  <si>
    <t>SYNE1</t>
  </si>
  <si>
    <t>CCT5</t>
  </si>
  <si>
    <t>RPL14</t>
  </si>
  <si>
    <t>TOM1</t>
  </si>
  <si>
    <t>YIPF3</t>
  </si>
  <si>
    <t>RPL15</t>
  </si>
  <si>
    <t>HSD17B4</t>
  </si>
  <si>
    <t>ASAH1</t>
  </si>
  <si>
    <t>THBS4</t>
  </si>
  <si>
    <t>PLOD2</t>
  </si>
  <si>
    <t>CALM1</t>
  </si>
  <si>
    <t>CD36</t>
  </si>
  <si>
    <t>FGFR1</t>
  </si>
  <si>
    <t>GDI2</t>
  </si>
  <si>
    <t>GGT5</t>
  </si>
  <si>
    <t>SSFA2</t>
  </si>
  <si>
    <t>LTBP4</t>
  </si>
  <si>
    <t>NDST1</t>
  </si>
  <si>
    <t>GNPDA1</t>
  </si>
  <si>
    <t>MYO6</t>
  </si>
  <si>
    <t>UBA5</t>
  </si>
  <si>
    <t>EIF4B</t>
  </si>
  <si>
    <t>NRP1</t>
  </si>
  <si>
    <t>EIF4G1</t>
  </si>
  <si>
    <t>DCTN1</t>
  </si>
  <si>
    <t>NIF3L1</t>
  </si>
  <si>
    <t>CFP</t>
  </si>
  <si>
    <t>ALYREF</t>
  </si>
  <si>
    <t>MUC5B</t>
  </si>
  <si>
    <t>ATIC</t>
  </si>
  <si>
    <t>EIF2B5</t>
  </si>
  <si>
    <t>MAN2B2</t>
  </si>
  <si>
    <t>GUSB</t>
  </si>
  <si>
    <t>MDH2</t>
  </si>
  <si>
    <t>CSN1S1</t>
  </si>
  <si>
    <t>MUC4</t>
  </si>
  <si>
    <t>SEMA4D</t>
  </si>
  <si>
    <t>GSTK1</t>
  </si>
  <si>
    <t>CP</t>
  </si>
  <si>
    <t>SERPING1</t>
  </si>
  <si>
    <t>TSN</t>
  </si>
  <si>
    <t>PRDX3</t>
  </si>
  <si>
    <t>MUC20</t>
  </si>
  <si>
    <t>DYNC1LI1</t>
  </si>
  <si>
    <t>CLEC3B</t>
  </si>
  <si>
    <t>HTATIP2</t>
  </si>
  <si>
    <t>ATM</t>
  </si>
  <si>
    <t>TXNRD1</t>
  </si>
  <si>
    <t>UBXN1</t>
  </si>
  <si>
    <t>RPL27A</t>
  </si>
  <si>
    <t>CD81</t>
  </si>
  <si>
    <t>AAMDC</t>
  </si>
  <si>
    <t>EEF1D</t>
  </si>
  <si>
    <t>PYGL</t>
  </si>
  <si>
    <t>PICALM</t>
  </si>
  <si>
    <t>RPL8</t>
  </si>
  <si>
    <t>BTF3L4</t>
  </si>
  <si>
    <t>HYOU1</t>
  </si>
  <si>
    <t>PLEKHA7</t>
  </si>
  <si>
    <t>IPO7</t>
  </si>
  <si>
    <t>NPEPPS</t>
  </si>
  <si>
    <t>PSMC3</t>
  </si>
  <si>
    <t>PPP1CA</t>
  </si>
  <si>
    <t>CASP4</t>
  </si>
  <si>
    <t>PTP4A2</t>
  </si>
  <si>
    <t>B3GAT3</t>
  </si>
  <si>
    <t>TPD52L1</t>
  </si>
  <si>
    <t>CD59</t>
  </si>
  <si>
    <t>CAPRIN1</t>
  </si>
  <si>
    <t>COPB1</t>
  </si>
  <si>
    <t>PPP3CA</t>
  </si>
  <si>
    <t>MDK</t>
  </si>
  <si>
    <t>CHMP4A</t>
  </si>
  <si>
    <t>PFDN4</t>
  </si>
  <si>
    <t>FAU</t>
  </si>
  <si>
    <t>PRSS23</t>
  </si>
  <si>
    <t>MYH14</t>
  </si>
  <si>
    <t>TALDO1</t>
  </si>
  <si>
    <t>WNK1</t>
  </si>
  <si>
    <t>PODXL</t>
  </si>
  <si>
    <t>MPI</t>
  </si>
  <si>
    <t>TRIM3</t>
  </si>
  <si>
    <t>TRAPPC13</t>
  </si>
  <si>
    <t>PTPRK</t>
  </si>
  <si>
    <t>BROX</t>
  </si>
  <si>
    <t>SPARC</t>
  </si>
  <si>
    <t>STARD10</t>
  </si>
  <si>
    <t>GALNT1</t>
  </si>
  <si>
    <t>AIF1L</t>
  </si>
  <si>
    <t>OTUB1</t>
  </si>
  <si>
    <t>SH3YL1</t>
  </si>
  <si>
    <t>TMC5</t>
  </si>
  <si>
    <t>MCEE</t>
  </si>
  <si>
    <t>PTHLH</t>
  </si>
  <si>
    <t>SLC3A2</t>
  </si>
  <si>
    <t>HNRNPH1</t>
  </si>
  <si>
    <t>GABARAPL1</t>
  </si>
  <si>
    <t>TPD52</t>
  </si>
  <si>
    <t>MYO3A</t>
  </si>
  <si>
    <t>PDLIM5</t>
  </si>
  <si>
    <t>RAB35</t>
  </si>
  <si>
    <t>MVK</t>
  </si>
  <si>
    <t>PSMD9</t>
  </si>
  <si>
    <t>MLEC</t>
  </si>
  <si>
    <t>CLIP1</t>
  </si>
  <si>
    <t>GBA</t>
  </si>
  <si>
    <t>VBP1</t>
  </si>
  <si>
    <t>MTHFD1</t>
  </si>
  <si>
    <t>DCTN2</t>
  </si>
  <si>
    <t>EIF3A</t>
  </si>
  <si>
    <t>ARL6IP4</t>
  </si>
  <si>
    <t>ARHGDIB</t>
  </si>
  <si>
    <t>PPP2R1A</t>
  </si>
  <si>
    <t>TSG101</t>
  </si>
  <si>
    <t>VPS26A</t>
  </si>
  <si>
    <t>CASC1</t>
  </si>
  <si>
    <t>SCARB1</t>
  </si>
  <si>
    <t>ACVR1B</t>
  </si>
  <si>
    <t>CES4A</t>
  </si>
  <si>
    <t>SSR1</t>
  </si>
  <si>
    <t>MYO1C</t>
  </si>
  <si>
    <t>B2M</t>
  </si>
  <si>
    <t>TNFRSF1A</t>
  </si>
  <si>
    <t>RGMA</t>
  </si>
  <si>
    <t>MFGE8</t>
  </si>
  <si>
    <t>PTMS</t>
  </si>
  <si>
    <t>TPM1</t>
  </si>
  <si>
    <t>IQGAP2</t>
  </si>
  <si>
    <t>NRD1</t>
  </si>
  <si>
    <t>POMGNT1</t>
  </si>
  <si>
    <t>SPINT1</t>
  </si>
  <si>
    <t>GPNMB</t>
  </si>
  <si>
    <t>PPP3R1</t>
  </si>
  <si>
    <t>TNFRSF14</t>
  </si>
  <si>
    <t>SYNCRIP</t>
  </si>
  <si>
    <t>RPLP0</t>
  </si>
  <si>
    <t>METTL7A</t>
  </si>
  <si>
    <t>PPP1CC</t>
  </si>
  <si>
    <t>NAP1L1</t>
  </si>
  <si>
    <t>METAP2</t>
  </si>
  <si>
    <t>RAPGEF3</t>
  </si>
  <si>
    <t>PRKAG1</t>
  </si>
  <si>
    <t>FKBP11</t>
  </si>
  <si>
    <t>POC1B-GALNT4</t>
  </si>
  <si>
    <t>MUCL1</t>
  </si>
  <si>
    <t>DENR</t>
  </si>
  <si>
    <t>SCNN1D</t>
  </si>
  <si>
    <t>BRF1</t>
  </si>
  <si>
    <t>VPS29</t>
  </si>
  <si>
    <t>IGFBP6</t>
  </si>
  <si>
    <t>SDSL</t>
  </si>
  <si>
    <t>NACA</t>
  </si>
  <si>
    <t>KRT18</t>
  </si>
  <si>
    <t>RPL6</t>
  </si>
  <si>
    <t>BTD</t>
  </si>
  <si>
    <t>MYL6</t>
  </si>
  <si>
    <t>GOLIM4</t>
  </si>
  <si>
    <t>GPHN</t>
  </si>
  <si>
    <t>FBLN1</t>
  </si>
  <si>
    <t>PLS3</t>
  </si>
  <si>
    <t>DYNC1I2</t>
  </si>
  <si>
    <t>ACACB</t>
  </si>
  <si>
    <t>RTN4</t>
  </si>
  <si>
    <t>SERPINB4</t>
  </si>
  <si>
    <t>STX3</t>
  </si>
  <si>
    <t>GALM</t>
  </si>
  <si>
    <t>ADAM9</t>
  </si>
  <si>
    <t>ARPC4</t>
  </si>
  <si>
    <t>SACM1L</t>
  </si>
  <si>
    <t>LANCL1</t>
  </si>
  <si>
    <t>DMBT1</t>
  </si>
  <si>
    <t>SIRT2</t>
  </si>
  <si>
    <t>CLTA</t>
  </si>
  <si>
    <t>SH3GLB2</t>
  </si>
  <si>
    <t>TFRC</t>
  </si>
  <si>
    <t>C16orf89</t>
  </si>
  <si>
    <t>UBE2V2</t>
  </si>
  <si>
    <t>CFL1</t>
  </si>
  <si>
    <t>IL18BP</t>
  </si>
  <si>
    <t>DPP3</t>
  </si>
  <si>
    <t>TMED3</t>
  </si>
  <si>
    <t>TXNL1</t>
  </si>
  <si>
    <t>RPL18</t>
  </si>
  <si>
    <t>AK2</t>
  </si>
  <si>
    <t>TMEM189</t>
  </si>
  <si>
    <t>RDH11</t>
  </si>
  <si>
    <t>SERPINA10</t>
  </si>
  <si>
    <t>EAPP</t>
  </si>
  <si>
    <t>SKOR1</t>
  </si>
  <si>
    <t>FAM177A1</t>
  </si>
  <si>
    <t>FBLN5</t>
  </si>
  <si>
    <t>LTBP2</t>
  </si>
  <si>
    <t>NDRG2</t>
  </si>
  <si>
    <t>GNPNAT1</t>
  </si>
  <si>
    <t>SERPINA3</t>
  </si>
  <si>
    <t>PSMA6</t>
  </si>
  <si>
    <t>TTC17</t>
  </si>
  <si>
    <t>SULF2</t>
  </si>
  <si>
    <t>LAMB1</t>
  </si>
  <si>
    <t>MST1</t>
  </si>
  <si>
    <t>CFI</t>
  </si>
  <si>
    <t>PROS1</t>
  </si>
  <si>
    <t>GYG1</t>
  </si>
  <si>
    <t>SDCBP</t>
  </si>
  <si>
    <t>PDIA3</t>
  </si>
  <si>
    <t>APOL1</t>
  </si>
  <si>
    <t>TGFBI</t>
  </si>
  <si>
    <t>MIA3</t>
  </si>
  <si>
    <t>ENTPD6</t>
  </si>
  <si>
    <t>THADA</t>
  </si>
  <si>
    <t>YBX1</t>
  </si>
  <si>
    <t>CD99L2</t>
  </si>
  <si>
    <t>PIN4</t>
  </si>
  <si>
    <t>FCGR3B</t>
  </si>
  <si>
    <t>PSMF1</t>
  </si>
  <si>
    <t>PTGDS</t>
  </si>
  <si>
    <t>UFM1</t>
  </si>
  <si>
    <t>ACADSB</t>
  </si>
  <si>
    <t>BNC2</t>
  </si>
  <si>
    <t>ATP6AP2</t>
  </si>
  <si>
    <t>CAST</t>
  </si>
  <si>
    <t>ATP2B2</t>
  </si>
  <si>
    <t>DNPH1</t>
  </si>
  <si>
    <t>PCBD2</t>
  </si>
  <si>
    <t>KLKB1</t>
  </si>
  <si>
    <t>RBP1</t>
  </si>
  <si>
    <t>LOXL2</t>
  </si>
  <si>
    <t>STC2</t>
  </si>
  <si>
    <t>CD74</t>
  </si>
  <si>
    <t>LTBP3</t>
  </si>
  <si>
    <t>CD44</t>
  </si>
  <si>
    <t>EIF3F</t>
  </si>
  <si>
    <t>RPS2</t>
  </si>
  <si>
    <t>SMPD1</t>
  </si>
  <si>
    <t>CRIP2</t>
  </si>
  <si>
    <t>RAN</t>
  </si>
  <si>
    <t>GLTP</t>
  </si>
  <si>
    <t>RAB6A</t>
  </si>
  <si>
    <t>MAN1B1</t>
  </si>
  <si>
    <t>DDI2</t>
  </si>
  <si>
    <t>FERMT2</t>
  </si>
  <si>
    <t>AHSA1</t>
  </si>
  <si>
    <t>EIF2S1</t>
  </si>
  <si>
    <t>SPTLC2</t>
  </si>
  <si>
    <t>NID2</t>
  </si>
  <si>
    <t>SNX1</t>
  </si>
  <si>
    <t>TMOD3</t>
  </si>
  <si>
    <t>CINP</t>
  </si>
  <si>
    <t>SRP14</t>
  </si>
  <si>
    <t>PCSK6</t>
  </si>
  <si>
    <t>CHP1</t>
  </si>
  <si>
    <t>COPS2</t>
  </si>
  <si>
    <t>PSME2</t>
  </si>
  <si>
    <t>RMDN3</t>
  </si>
  <si>
    <t>GMPR2</t>
  </si>
  <si>
    <t>ANXA2</t>
  </si>
  <si>
    <t>PSMA4</t>
  </si>
  <si>
    <t>ANP32A</t>
  </si>
  <si>
    <t>CD276</t>
  </si>
  <si>
    <t>RPS17L</t>
  </si>
  <si>
    <t>PSME1</t>
  </si>
  <si>
    <t>RAB8B</t>
  </si>
  <si>
    <t>KIAA1109</t>
  </si>
  <si>
    <t>AKR7A2</t>
  </si>
  <si>
    <t>TNFRSF17</t>
  </si>
  <si>
    <t>JMJD8</t>
  </si>
  <si>
    <t>PFDN5</t>
  </si>
  <si>
    <t>HN1L</t>
  </si>
  <si>
    <t>CDH1</t>
  </si>
  <si>
    <t>CIAPIN1</t>
  </si>
  <si>
    <t>HAGH</t>
  </si>
  <si>
    <t>ARPP19</t>
  </si>
  <si>
    <t>NPTN</t>
  </si>
  <si>
    <t>APRT</t>
  </si>
  <si>
    <t>EIF3C</t>
  </si>
  <si>
    <t>HEXA</t>
  </si>
  <si>
    <t>LRRC57</t>
  </si>
  <si>
    <t>HAPLN3</t>
  </si>
  <si>
    <t>CNN2</t>
  </si>
  <si>
    <t>CES3</t>
  </si>
  <si>
    <t>SCAMP2</t>
  </si>
  <si>
    <t>PMM2</t>
  </si>
  <si>
    <t>RPS15A</t>
  </si>
  <si>
    <t>SEC31A</t>
  </si>
  <si>
    <t>SORBS2</t>
  </si>
  <si>
    <t>RPL23A</t>
  </si>
  <si>
    <t>PCMT1</t>
  </si>
  <si>
    <t>ESD</t>
  </si>
  <si>
    <t>ABHD5</t>
  </si>
  <si>
    <t>TTC38</t>
  </si>
  <si>
    <t>RPL10</t>
  </si>
  <si>
    <t>ACAA1</t>
  </si>
  <si>
    <t>COPG2</t>
  </si>
  <si>
    <t>APEH</t>
  </si>
  <si>
    <t>MFSD6</t>
  </si>
  <si>
    <t>ILKAP</t>
  </si>
  <si>
    <t>PLOD3</t>
  </si>
  <si>
    <t>TAX1BP1</t>
  </si>
  <si>
    <t>GNS</t>
  </si>
  <si>
    <t>RALA</t>
  </si>
  <si>
    <t>ST6GAL1</t>
  </si>
  <si>
    <t>GPR110</t>
  </si>
  <si>
    <t>LCN2</t>
  </si>
  <si>
    <t>DDX19A</t>
  </si>
  <si>
    <t>NSF</t>
  </si>
  <si>
    <t>SHBG</t>
  </si>
  <si>
    <t>CDH5</t>
  </si>
  <si>
    <t>HGS</t>
  </si>
  <si>
    <t>TOM1L1</t>
  </si>
  <si>
    <t>FN3KRP</t>
  </si>
  <si>
    <t>EIF5A</t>
  </si>
  <si>
    <t>PITPNA</t>
  </si>
  <si>
    <t>BAIAP2</t>
  </si>
  <si>
    <t>FABP5</t>
  </si>
  <si>
    <t>RPS13</t>
  </si>
  <si>
    <t>NPC2</t>
  </si>
  <si>
    <t>LDLR</t>
  </si>
  <si>
    <t>MATN2</t>
  </si>
  <si>
    <t>KIAA0368</t>
  </si>
  <si>
    <t>NOMO3</t>
  </si>
  <si>
    <t>SEMA4B</t>
  </si>
  <si>
    <t>FSCN1</t>
  </si>
  <si>
    <t>KIAA1551</t>
  </si>
  <si>
    <t>PNPLA8</t>
  </si>
  <si>
    <t>ALDOA</t>
  </si>
  <si>
    <t>OLA1</t>
  </si>
  <si>
    <t>TGOLN2</t>
  </si>
  <si>
    <t>HLA-DPA1</t>
  </si>
  <si>
    <t>CORIN</t>
  </si>
  <si>
    <t>CNDP1</t>
  </si>
  <si>
    <t>HN1</t>
  </si>
  <si>
    <t>PPP1R1B</t>
  </si>
  <si>
    <t>SCRN2</t>
  </si>
  <si>
    <t>ARHGDIA</t>
  </si>
  <si>
    <t>MIEN1</t>
  </si>
  <si>
    <t>MYL12A</t>
  </si>
  <si>
    <t>NSFL1C</t>
  </si>
  <si>
    <t>TRAPPC8</t>
  </si>
  <si>
    <t>CLUL1</t>
  </si>
  <si>
    <t>ENOSF1</t>
  </si>
  <si>
    <t>DNAH9</t>
  </si>
  <si>
    <t>RPL17</t>
  </si>
  <si>
    <t>TWSG1</t>
  </si>
  <si>
    <t>DCXR</t>
  </si>
  <si>
    <t>RPL13</t>
  </si>
  <si>
    <t>LCAT</t>
  </si>
  <si>
    <t>GPRC5C</t>
  </si>
  <si>
    <t>WBP2</t>
  </si>
  <si>
    <t>MYO5B</t>
  </si>
  <si>
    <t>PSMD8</t>
  </si>
  <si>
    <t>RPL22</t>
  </si>
  <si>
    <t>STAT5A</t>
  </si>
  <si>
    <t>PTBP1</t>
  </si>
  <si>
    <t>VPS25</t>
  </si>
  <si>
    <t>GNA11</t>
  </si>
  <si>
    <t>CDC37</t>
  </si>
  <si>
    <t>KLC3</t>
  </si>
  <si>
    <t>PRKCSH</t>
  </si>
  <si>
    <t>KATNAL2</t>
  </si>
  <si>
    <t>EIF1</t>
  </si>
  <si>
    <t>SGTA</t>
  </si>
  <si>
    <t>KRT19</t>
  </si>
  <si>
    <t>H3F3B</t>
  </si>
  <si>
    <t>TBCB</t>
  </si>
  <si>
    <t>CAPNS1</t>
  </si>
  <si>
    <t>PDCD5</t>
  </si>
  <si>
    <t>CFD</t>
  </si>
  <si>
    <t>APOC1</t>
  </si>
  <si>
    <t>GPX4</t>
  </si>
  <si>
    <t>BLMH</t>
  </si>
  <si>
    <t>EIF3K</t>
  </si>
  <si>
    <t>RAD23A</t>
  </si>
  <si>
    <t>DNM2</t>
  </si>
  <si>
    <t>KLK3</t>
  </si>
  <si>
    <t>C19orf10</t>
  </si>
  <si>
    <t>LIPE</t>
  </si>
  <si>
    <t>SH3GL1</t>
  </si>
  <si>
    <t>GMFG</t>
  </si>
  <si>
    <t>RPL13A</t>
  </si>
  <si>
    <t>AP2S1</t>
  </si>
  <si>
    <t>RPS5</t>
  </si>
  <si>
    <t>CLEC11A</t>
  </si>
  <si>
    <t>NAPA</t>
  </si>
  <si>
    <t>RAB4B</t>
  </si>
  <si>
    <t>CHMP2A</t>
  </si>
  <si>
    <t>CEACAM1</t>
  </si>
  <si>
    <t>RPS19</t>
  </si>
  <si>
    <t>MUC16</t>
  </si>
  <si>
    <t>NOTCH3</t>
  </si>
  <si>
    <t>RPL18A</t>
  </si>
  <si>
    <t>SNAP23</t>
  </si>
  <si>
    <t>TLR4</t>
  </si>
  <si>
    <t>PSMD11</t>
  </si>
  <si>
    <t>PSMD12</t>
  </si>
  <si>
    <t>PGRMC1</t>
  </si>
  <si>
    <t>DFFA</t>
  </si>
  <si>
    <t>LEFTY2</t>
  </si>
  <si>
    <t>CLIC1</t>
  </si>
  <si>
    <t>TNFRSF11B</t>
  </si>
  <si>
    <t>QSOX1</t>
  </si>
  <si>
    <t>IPO5</t>
  </si>
  <si>
    <t>MANBA</t>
  </si>
  <si>
    <t>AGRN</t>
  </si>
  <si>
    <t>BIN1</t>
  </si>
  <si>
    <t>CYR61</t>
  </si>
  <si>
    <t>PIR</t>
  </si>
  <si>
    <t>MAN2B1</t>
  </si>
  <si>
    <t>FBP2</t>
  </si>
  <si>
    <t>PDXK</t>
  </si>
  <si>
    <t>ISLR</t>
  </si>
  <si>
    <t>TOR1B</t>
  </si>
  <si>
    <t>ADAM10</t>
  </si>
  <si>
    <t>SLC9A3R1</t>
  </si>
  <si>
    <t>TPP1</t>
  </si>
  <si>
    <t>MRAS</t>
  </si>
  <si>
    <t>PSMA7</t>
  </si>
  <si>
    <t>OPLAH</t>
  </si>
  <si>
    <t>PLXNB2</t>
  </si>
  <si>
    <t>ADAMTS3</t>
  </si>
  <si>
    <t>ARPC1B</t>
  </si>
  <si>
    <t>ARPC2</t>
  </si>
  <si>
    <t>ARPC3</t>
  </si>
  <si>
    <t>ADAMDEC1</t>
  </si>
  <si>
    <t>PFDN6</t>
  </si>
  <si>
    <t>LAMA5</t>
  </si>
  <si>
    <t>MATN3</t>
  </si>
  <si>
    <t>STX7</t>
  </si>
  <si>
    <t>ARPC5</t>
  </si>
  <si>
    <t>FABP7</t>
  </si>
  <si>
    <t>FLRT2</t>
  </si>
  <si>
    <t>PHGDH</t>
  </si>
  <si>
    <t>PSMD3</t>
  </si>
  <si>
    <t>B4GALT5</t>
  </si>
  <si>
    <t>SPINT2</t>
  </si>
  <si>
    <t>TPD52L2</t>
  </si>
  <si>
    <t>PROM1</t>
  </si>
  <si>
    <t>B3GNT1</t>
  </si>
  <si>
    <t>TNFSF12</t>
  </si>
  <si>
    <t>TSPAN6</t>
  </si>
  <si>
    <t>ASNA1</t>
  </si>
  <si>
    <t>ACTN4</t>
  </si>
  <si>
    <t>GSTZ1</t>
  </si>
  <si>
    <t>NARS</t>
  </si>
  <si>
    <t>CALU</t>
  </si>
  <si>
    <t>CD5L</t>
  </si>
  <si>
    <t>KLK8</t>
  </si>
  <si>
    <t>GNG7</t>
  </si>
  <si>
    <t>SPAG9</t>
  </si>
  <si>
    <t>TBC1D4</t>
  </si>
  <si>
    <t>MAN1A2</t>
  </si>
  <si>
    <t>ACSL4</t>
  </si>
  <si>
    <t>CIDEA</t>
  </si>
  <si>
    <t>GMDS</t>
  </si>
  <si>
    <t>TLR2</t>
  </si>
  <si>
    <t>SEP15</t>
  </si>
  <si>
    <t>PLIN3</t>
  </si>
  <si>
    <t>USO1</t>
  </si>
  <si>
    <t>EDF1</t>
  </si>
  <si>
    <t>IGSF3</t>
  </si>
  <si>
    <t>EFCAB14</t>
  </si>
  <si>
    <t>WDR1</t>
  </si>
  <si>
    <t>GGCT</t>
  </si>
  <si>
    <t>CILP</t>
  </si>
  <si>
    <t>ATP6V1G1</t>
  </si>
  <si>
    <t>VPS4B</t>
  </si>
  <si>
    <t>ENTPD3</t>
  </si>
  <si>
    <t>SH3BGRL</t>
  </si>
  <si>
    <t>FLNB</t>
  </si>
  <si>
    <t>SEC22B</t>
  </si>
  <si>
    <t>CA11</t>
  </si>
  <si>
    <t>CLN5</t>
  </si>
  <si>
    <t>CREG1</t>
  </si>
  <si>
    <t>RP2</t>
  </si>
  <si>
    <t>RPP40</t>
  </si>
  <si>
    <t>IDH1</t>
  </si>
  <si>
    <t>ATRN</t>
  </si>
  <si>
    <t>RBBP9</t>
  </si>
  <si>
    <t>ALDH1L1</t>
  </si>
  <si>
    <t>CPD</t>
  </si>
  <si>
    <t>GLRX3</t>
  </si>
  <si>
    <t>SRP72</t>
  </si>
  <si>
    <t>DDAH1</t>
  </si>
  <si>
    <t>UFL1</t>
  </si>
  <si>
    <t>PROSC</t>
  </si>
  <si>
    <t>CLSTN1</t>
  </si>
  <si>
    <t>RTN3</t>
  </si>
  <si>
    <t>LYPD3</t>
  </si>
  <si>
    <t>VAPB</t>
  </si>
  <si>
    <t>PGLS</t>
  </si>
  <si>
    <t>PGM3</t>
  </si>
  <si>
    <t>SLC34A2</t>
  </si>
  <si>
    <t>ACSL3</t>
  </si>
  <si>
    <t>RAB3D</t>
  </si>
  <si>
    <t>SNAP29</t>
  </si>
  <si>
    <t>OXSR1</t>
  </si>
  <si>
    <t>STAU1</t>
  </si>
  <si>
    <t>EML2</t>
  </si>
  <si>
    <t>DDAH2</t>
  </si>
  <si>
    <t>TXNDC12</t>
  </si>
  <si>
    <t>ITGBL1</t>
  </si>
  <si>
    <t>SCGB1D2</t>
  </si>
  <si>
    <t>RECK</t>
  </si>
  <si>
    <t>MOCS2</t>
  </si>
  <si>
    <t>CYB5A</t>
  </si>
  <si>
    <t>LDHA</t>
  </si>
  <si>
    <t>ALDH1A1</t>
  </si>
  <si>
    <t>CYB5R3</t>
  </si>
  <si>
    <t>SOD1</t>
  </si>
  <si>
    <t>PNP</t>
  </si>
  <si>
    <t>HPRT1</t>
  </si>
  <si>
    <t>PGK1</t>
  </si>
  <si>
    <t>LALBA</t>
  </si>
  <si>
    <t>F2</t>
  </si>
  <si>
    <t>C1R</t>
  </si>
  <si>
    <t>HP</t>
  </si>
  <si>
    <t>HPR</t>
  </si>
  <si>
    <t>F9</t>
  </si>
  <si>
    <t>PLG</t>
  </si>
  <si>
    <t>F12</t>
  </si>
  <si>
    <t>CA2</t>
  </si>
  <si>
    <t>ASS1</t>
  </si>
  <si>
    <t>SERPINC1</t>
  </si>
  <si>
    <t>SERPINA1</t>
  </si>
  <si>
    <t>AGT</t>
  </si>
  <si>
    <t>A2M</t>
  </si>
  <si>
    <t>C3</t>
  </si>
  <si>
    <t>C5</t>
  </si>
  <si>
    <t>CST3</t>
  </si>
  <si>
    <t>CST4</t>
  </si>
  <si>
    <t>KNG1</t>
  </si>
  <si>
    <t>HRAS</t>
  </si>
  <si>
    <t>KRAS</t>
  </si>
  <si>
    <t>EGF</t>
  </si>
  <si>
    <t>PRL</t>
  </si>
  <si>
    <t>IGJ</t>
  </si>
  <si>
    <t>PIGR</t>
  </si>
  <si>
    <t>IGKC</t>
  </si>
  <si>
    <t>IGHG1</t>
  </si>
  <si>
    <t>IGHG2</t>
  </si>
  <si>
    <t>IGHG3</t>
  </si>
  <si>
    <t>IGHG4</t>
  </si>
  <si>
    <t>IGHM</t>
  </si>
  <si>
    <t>IGHA1</t>
  </si>
  <si>
    <t>IGHA2</t>
  </si>
  <si>
    <t>HLA-B</t>
  </si>
  <si>
    <t>HLA-DRA</t>
  </si>
  <si>
    <t>COL4A1</t>
  </si>
  <si>
    <t>LMNA</t>
  </si>
  <si>
    <t>APOA1</t>
  </si>
  <si>
    <t>APOE</t>
  </si>
  <si>
    <t>APOA2</t>
  </si>
  <si>
    <t>FGA</t>
  </si>
  <si>
    <t>FGB</t>
  </si>
  <si>
    <t>APCS</t>
  </si>
  <si>
    <t>C9</t>
  </si>
  <si>
    <t>APOH</t>
  </si>
  <si>
    <t>LRG1</t>
  </si>
  <si>
    <t>FN1</t>
  </si>
  <si>
    <t>AMBP</t>
  </si>
  <si>
    <t>ORM1</t>
  </si>
  <si>
    <t>AHSG</t>
  </si>
  <si>
    <t>TTR</t>
  </si>
  <si>
    <t>GC</t>
  </si>
  <si>
    <t>CXCL10</t>
  </si>
  <si>
    <t>TF</t>
  </si>
  <si>
    <t>LTF</t>
  </si>
  <si>
    <t>HPX</t>
  </si>
  <si>
    <t>FTL</t>
  </si>
  <si>
    <t>FTH1</t>
  </si>
  <si>
    <t>PRH1</t>
  </si>
  <si>
    <t>SMR3B</t>
  </si>
  <si>
    <t>ANG</t>
  </si>
  <si>
    <t>C4BPA</t>
  </si>
  <si>
    <t>VTN</t>
  </si>
  <si>
    <t>CAT</t>
  </si>
  <si>
    <t>FUCA1</t>
  </si>
  <si>
    <t>CSTB</t>
  </si>
  <si>
    <t>APOB</t>
  </si>
  <si>
    <t>HRG</t>
  </si>
  <si>
    <t>A1BG</t>
  </si>
  <si>
    <t>S100B</t>
  </si>
  <si>
    <t>SEMG1</t>
  </si>
  <si>
    <t>GAPDH</t>
  </si>
  <si>
    <t>ASL</t>
  </si>
  <si>
    <t>AMY1A</t>
  </si>
  <si>
    <t>HSPB1</t>
  </si>
  <si>
    <t>APP</t>
  </si>
  <si>
    <t>S100A8</t>
  </si>
  <si>
    <t>SERPINA5</t>
  </si>
  <si>
    <t>F13B</t>
  </si>
  <si>
    <t>MPO</t>
  </si>
  <si>
    <t>ALPL</t>
  </si>
  <si>
    <t>ICAM1</t>
  </si>
  <si>
    <t>RPLP2</t>
  </si>
  <si>
    <t>FABP3</t>
  </si>
  <si>
    <t>SERPINA7</t>
  </si>
  <si>
    <t>SERPIND1</t>
  </si>
  <si>
    <t>CSN2</t>
  </si>
  <si>
    <t>IGKV4-1</t>
  </si>
  <si>
    <t>GSN</t>
  </si>
  <si>
    <t>C2</t>
  </si>
  <si>
    <t>S100A9</t>
  </si>
  <si>
    <t>APOA4</t>
  </si>
  <si>
    <t>ENO1</t>
  </si>
  <si>
    <t>GPI</t>
  </si>
  <si>
    <t>LPL</t>
  </si>
  <si>
    <t>SERPINE2</t>
  </si>
  <si>
    <t>DBI</t>
  </si>
  <si>
    <t>LDHB</t>
  </si>
  <si>
    <t>GPX1</t>
  </si>
  <si>
    <t>P4HB</t>
  </si>
  <si>
    <t>CTSD</t>
  </si>
  <si>
    <t>C8A</t>
  </si>
  <si>
    <t>C8B</t>
  </si>
  <si>
    <t>C8G</t>
  </si>
  <si>
    <t>CAPN1</t>
  </si>
  <si>
    <t>CSN3</t>
  </si>
  <si>
    <t>HEXB</t>
  </si>
  <si>
    <t>PFN1</t>
  </si>
  <si>
    <t>EPRS</t>
  </si>
  <si>
    <t>CTSB</t>
  </si>
  <si>
    <t>HSP90AA1</t>
  </si>
  <si>
    <t>GALT</t>
  </si>
  <si>
    <t>LYN</t>
  </si>
  <si>
    <t>FH</t>
  </si>
  <si>
    <t>RNASE1</t>
  </si>
  <si>
    <t>HSPA1A</t>
  </si>
  <si>
    <t>COL1A2</t>
  </si>
  <si>
    <t>SERPINA6</t>
  </si>
  <si>
    <t>HSP90AB1</t>
  </si>
  <si>
    <t>MMP2</t>
  </si>
  <si>
    <t>SOD3</t>
  </si>
  <si>
    <t>CTSG</t>
  </si>
  <si>
    <t>MGP</t>
  </si>
  <si>
    <t>CD14</t>
  </si>
  <si>
    <t>COL4A2</t>
  </si>
  <si>
    <t>MFI2</t>
  </si>
  <si>
    <t>CFH</t>
  </si>
  <si>
    <t>SERPINF2</t>
  </si>
  <si>
    <t>GNAI3</t>
  </si>
  <si>
    <t>MMP7</t>
  </si>
  <si>
    <t>CXCL1</t>
  </si>
  <si>
    <t>LGALS1</t>
  </si>
  <si>
    <t>FBP1</t>
  </si>
  <si>
    <t>CNP</t>
  </si>
  <si>
    <t>CSF1</t>
  </si>
  <si>
    <t>CTSH</t>
  </si>
  <si>
    <t>TACSTD2</t>
  </si>
  <si>
    <t>C1S</t>
  </si>
  <si>
    <t>LTA4H</t>
  </si>
  <si>
    <t>FREM3</t>
  </si>
  <si>
    <t>C4A</t>
  </si>
  <si>
    <t>C4B</t>
  </si>
  <si>
    <t>IGLC2</t>
  </si>
  <si>
    <t>SAA1</t>
  </si>
  <si>
    <t>SAA2</t>
  </si>
  <si>
    <t>GAA</t>
  </si>
  <si>
    <t>RRAS</t>
  </si>
  <si>
    <t>SPP1</t>
  </si>
  <si>
    <t>PTPRF</t>
  </si>
  <si>
    <t>TXN</t>
  </si>
  <si>
    <t>CTSA</t>
  </si>
  <si>
    <t>C7</t>
  </si>
  <si>
    <t>PRKAR1A</t>
  </si>
  <si>
    <t>KIT</t>
  </si>
  <si>
    <t>HSPD1</t>
  </si>
  <si>
    <t>CLU</t>
  </si>
  <si>
    <t>HSPA5</t>
  </si>
  <si>
    <t>LAMC1</t>
  </si>
  <si>
    <t>HSPA8</t>
  </si>
  <si>
    <t>UMPS</t>
  </si>
  <si>
    <t>PYGB</t>
  </si>
  <si>
    <t>LAMP1</t>
  </si>
  <si>
    <t>G6PD</t>
  </si>
  <si>
    <t>EPX</t>
  </si>
  <si>
    <t>IGF2R</t>
  </si>
  <si>
    <t>ADH5</t>
  </si>
  <si>
    <t>PRPS2</t>
  </si>
  <si>
    <t>PABPC1</t>
  </si>
  <si>
    <t>COL6A1</t>
  </si>
  <si>
    <t>F5</t>
  </si>
  <si>
    <t>PIP</t>
  </si>
  <si>
    <t>ACTN1</t>
  </si>
  <si>
    <t>ACE</t>
  </si>
  <si>
    <t>IFI30</t>
  </si>
  <si>
    <t>RNH1</t>
  </si>
  <si>
    <t>BMP1</t>
  </si>
  <si>
    <t>EEF2</t>
  </si>
  <si>
    <t>PDIA4</t>
  </si>
  <si>
    <t>C6</t>
  </si>
  <si>
    <t>F3</t>
  </si>
  <si>
    <t>HLA-DRB1</t>
  </si>
  <si>
    <t>HLA-DRB4</t>
  </si>
  <si>
    <t>LCP1</t>
  </si>
  <si>
    <t>SLC5A1</t>
  </si>
  <si>
    <t>MIF</t>
  </si>
  <si>
    <t>FDPS</t>
  </si>
  <si>
    <t>NID1</t>
  </si>
  <si>
    <t>AKR1A1</t>
  </si>
  <si>
    <t>PKM</t>
  </si>
  <si>
    <t>ACYP2</t>
  </si>
  <si>
    <t>HSP90B1</t>
  </si>
  <si>
    <t>IDE</t>
  </si>
  <si>
    <t>JUP</t>
  </si>
  <si>
    <t>CPB1</t>
  </si>
  <si>
    <t>FABP4</t>
  </si>
  <si>
    <t>GLUL</t>
  </si>
  <si>
    <t>ANPEP</t>
  </si>
  <si>
    <t>PVR</t>
  </si>
  <si>
    <t>CPN1</t>
  </si>
  <si>
    <t>GSPT1</t>
  </si>
  <si>
    <t>ARSA</t>
  </si>
  <si>
    <t>B4GALT1</t>
  </si>
  <si>
    <t>EZR</t>
  </si>
  <si>
    <t>FOLR1</t>
  </si>
  <si>
    <t>UCHL3</t>
  </si>
  <si>
    <t>CSF2RA</t>
  </si>
  <si>
    <t>CD46</t>
  </si>
  <si>
    <t>IGLL1</t>
  </si>
  <si>
    <t>DSP</t>
  </si>
  <si>
    <t>TIMP2</t>
  </si>
  <si>
    <t>CBR1</t>
  </si>
  <si>
    <t>GLB1</t>
  </si>
  <si>
    <t>PECAM1</t>
  </si>
  <si>
    <t>HIST1H1B</t>
  </si>
  <si>
    <t>HIST1H1C</t>
  </si>
  <si>
    <t>DPEP1</t>
  </si>
  <si>
    <t>YBX3</t>
  </si>
  <si>
    <t>NAGA</t>
  </si>
  <si>
    <t>HSPA6</t>
  </si>
  <si>
    <t>GOT1</t>
  </si>
  <si>
    <t>CAPN2</t>
  </si>
  <si>
    <t>ENG</t>
  </si>
  <si>
    <t>PFKL</t>
  </si>
  <si>
    <t>GM2A</t>
  </si>
  <si>
    <t>LGALS3</t>
  </si>
  <si>
    <t>IGFBP3</t>
  </si>
  <si>
    <t>TCP1</t>
  </si>
  <si>
    <t>IGFBP2</t>
  </si>
  <si>
    <t>ARF4</t>
  </si>
  <si>
    <t>VCL</t>
  </si>
  <si>
    <t>LBP</t>
  </si>
  <si>
    <t>IL1RN</t>
  </si>
  <si>
    <t>PGAM1</t>
  </si>
  <si>
    <t>SDC1</t>
  </si>
  <si>
    <t>ATF6</t>
  </si>
  <si>
    <t>PAM</t>
  </si>
  <si>
    <t>VCAM1</t>
  </si>
  <si>
    <t>GGT1</t>
  </si>
  <si>
    <t>SRM</t>
  </si>
  <si>
    <t>ORM2</t>
  </si>
  <si>
    <t>ITIH1</t>
  </si>
  <si>
    <t>CEL</t>
  </si>
  <si>
    <t>CXCL2</t>
  </si>
  <si>
    <t>TCN1</t>
  </si>
  <si>
    <t>RAB3A</t>
  </si>
  <si>
    <t>PSMB1</t>
  </si>
  <si>
    <t>PZP</t>
  </si>
  <si>
    <t>OGN</t>
  </si>
  <si>
    <t>EFNA1</t>
  </si>
  <si>
    <t>C4BPB</t>
  </si>
  <si>
    <t>AGA</t>
  </si>
  <si>
    <t>ATP6V1B2</t>
  </si>
  <si>
    <t>ACO1</t>
  </si>
  <si>
    <t>GPD1</t>
  </si>
  <si>
    <t>COMT</t>
  </si>
  <si>
    <t>OSBP</t>
  </si>
  <si>
    <t>LPO</t>
  </si>
  <si>
    <t>GART</t>
  </si>
  <si>
    <t>CDH3</t>
  </si>
  <si>
    <t>IDS</t>
  </si>
  <si>
    <t>SCP2</t>
  </si>
  <si>
    <t>UBA1</t>
  </si>
  <si>
    <t>GPX3</t>
  </si>
  <si>
    <t>HNRNPA2B1</t>
  </si>
  <si>
    <t>CCNO</t>
  </si>
  <si>
    <t>CALB2</t>
  </si>
  <si>
    <t>CPN2</t>
  </si>
  <si>
    <t>MRC1</t>
  </si>
  <si>
    <t>CA6</t>
  </si>
  <si>
    <t>PPIB</t>
  </si>
  <si>
    <t>S100A1</t>
  </si>
  <si>
    <t>WARS</t>
  </si>
  <si>
    <t>RPS3</t>
  </si>
  <si>
    <t>AHCY</t>
  </si>
  <si>
    <t>CPT2</t>
  </si>
  <si>
    <t>LAMA2</t>
  </si>
  <si>
    <t>PRTN3</t>
  </si>
  <si>
    <t>GPT</t>
  </si>
  <si>
    <t>EEF1B2</t>
  </si>
  <si>
    <t>IGFBP5</t>
  </si>
  <si>
    <t>TNC</t>
  </si>
  <si>
    <t>MPST</t>
  </si>
  <si>
    <t>RPS12</t>
  </si>
  <si>
    <t>FAS</t>
  </si>
  <si>
    <t>DNAJB2</t>
  </si>
  <si>
    <t>CTSS</t>
  </si>
  <si>
    <t>PSMA1</t>
  </si>
  <si>
    <t>PSMA2</t>
  </si>
  <si>
    <t>PSMA3</t>
  </si>
  <si>
    <t>S100P</t>
  </si>
  <si>
    <t>COL5A3</t>
  </si>
  <si>
    <t>MSN</t>
  </si>
  <si>
    <t>S100A4</t>
  </si>
  <si>
    <t>MGAT1</t>
  </si>
  <si>
    <t>TARS</t>
  </si>
  <si>
    <t>EEF1G</t>
  </si>
  <si>
    <t>FKBP2</t>
  </si>
  <si>
    <t>CNTFR</t>
  </si>
  <si>
    <t>PON1</t>
  </si>
  <si>
    <t>YWHAQ</t>
  </si>
  <si>
    <t>G0S2</t>
  </si>
  <si>
    <t>CALML3</t>
  </si>
  <si>
    <t>CALR</t>
  </si>
  <si>
    <t>CANX</t>
  </si>
  <si>
    <t>PSMB8</t>
  </si>
  <si>
    <t>PSMA5</t>
  </si>
  <si>
    <t>PSMB4</t>
  </si>
  <si>
    <t>PSMB6</t>
  </si>
  <si>
    <t>PSMB5</t>
  </si>
  <si>
    <t>GRN</t>
  </si>
  <si>
    <t>LAP3</t>
  </si>
  <si>
    <t>IMPA1</t>
  </si>
  <si>
    <t>CRABP2</t>
  </si>
  <si>
    <t>TKT</t>
  </si>
  <si>
    <t>SERPINA4</t>
  </si>
  <si>
    <t>CRABP1</t>
  </si>
  <si>
    <t>MARCKS</t>
  </si>
  <si>
    <t>ERP29</t>
  </si>
  <si>
    <t>PRDX6</t>
  </si>
  <si>
    <t>BLVRB</t>
  </si>
  <si>
    <t>PRDX5</t>
  </si>
  <si>
    <t>RPL12</t>
  </si>
  <si>
    <t>PEBP1</t>
  </si>
  <si>
    <t>NMT1</t>
  </si>
  <si>
    <t>HLA-A</t>
  </si>
  <si>
    <t>ADSS</t>
  </si>
  <si>
    <t>LRPAP1</t>
  </si>
  <si>
    <t>SERPINB1</t>
  </si>
  <si>
    <t>CORO1A</t>
  </si>
  <si>
    <t>GDI1</t>
  </si>
  <si>
    <t>PRKAR2B</t>
  </si>
  <si>
    <t>SDC4</t>
  </si>
  <si>
    <t>HIBADH</t>
  </si>
  <si>
    <t>CASP14</t>
  </si>
  <si>
    <t>YWHAB</t>
  </si>
  <si>
    <t>SFN</t>
  </si>
  <si>
    <t>STIP1</t>
  </si>
  <si>
    <t>S100A11</t>
  </si>
  <si>
    <t>PRDX2</t>
  </si>
  <si>
    <t>GBP1</t>
  </si>
  <si>
    <t>CTH</t>
  </si>
  <si>
    <t>ACSL1</t>
  </si>
  <si>
    <t>KIF5B</t>
  </si>
  <si>
    <t>MAN1A1</t>
  </si>
  <si>
    <t>RNASE4</t>
  </si>
  <si>
    <t>SHMT1</t>
  </si>
  <si>
    <t>HSPA4</t>
  </si>
  <si>
    <t>SERPINB6</t>
  </si>
  <si>
    <t>RDX</t>
  </si>
  <si>
    <t>SPR</t>
  </si>
  <si>
    <t>SAA4</t>
  </si>
  <si>
    <t>MYH9</t>
  </si>
  <si>
    <t>TIE1</t>
  </si>
  <si>
    <t>BSG</t>
  </si>
  <si>
    <t>GLRX</t>
  </si>
  <si>
    <t>PPM1A</t>
  </si>
  <si>
    <t>IGFALS</t>
  </si>
  <si>
    <t>PSMC2</t>
  </si>
  <si>
    <t>CHI3L1</t>
  </si>
  <si>
    <t>RPL4</t>
  </si>
  <si>
    <t>PGM1</t>
  </si>
  <si>
    <t>SERPINF1</t>
  </si>
  <si>
    <t>CFHR2</t>
  </si>
  <si>
    <t>TAGLN2</t>
  </si>
  <si>
    <t>HSPA9</t>
  </si>
  <si>
    <t>CAPG</t>
  </si>
  <si>
    <t>IL6ST</t>
  </si>
  <si>
    <t>CCT6A</t>
  </si>
  <si>
    <t>PSMB10</t>
  </si>
  <si>
    <t>ARL4A</t>
  </si>
  <si>
    <t>MDH1</t>
  </si>
  <si>
    <t>EIF2S3</t>
  </si>
  <si>
    <t>PPP1R2</t>
  </si>
  <si>
    <t>GARS</t>
  </si>
  <si>
    <t>ACTR1B</t>
  </si>
  <si>
    <t>AKR1C3</t>
  </si>
  <si>
    <t>CASP3</t>
  </si>
  <si>
    <t>PRCP</t>
  </si>
  <si>
    <t>PAFAH1B1</t>
  </si>
  <si>
    <t>MCAM</t>
  </si>
  <si>
    <t>NAMPT</t>
  </si>
  <si>
    <t>AFM</t>
  </si>
  <si>
    <t>PSMC4</t>
  </si>
  <si>
    <t>ASPA</t>
  </si>
  <si>
    <t>PPIC</t>
  </si>
  <si>
    <t>USP5</t>
  </si>
  <si>
    <t>CRK</t>
  </si>
  <si>
    <t>RPS9</t>
  </si>
  <si>
    <t>RPS10</t>
  </si>
  <si>
    <t>IQGAP1</t>
  </si>
  <si>
    <t>CAPZA2</t>
  </si>
  <si>
    <t>ALDH1A3</t>
  </si>
  <si>
    <t>RPL29</t>
  </si>
  <si>
    <t>XDH</t>
  </si>
  <si>
    <t>ME1</t>
  </si>
  <si>
    <t>LSS</t>
  </si>
  <si>
    <t>GCLC</t>
  </si>
  <si>
    <t>GSS</t>
  </si>
  <si>
    <t>HSPA13</t>
  </si>
  <si>
    <t>PITPNB</t>
  </si>
  <si>
    <t>MASP1</t>
  </si>
  <si>
    <t>MARCKSL1</t>
  </si>
  <si>
    <t>ALDH9A1</t>
  </si>
  <si>
    <t>LMAN1</t>
  </si>
  <si>
    <t>SLC11A2</t>
  </si>
  <si>
    <t>FASN</t>
  </si>
  <si>
    <t>ARRB1</t>
  </si>
  <si>
    <t>ALDH7A1</t>
  </si>
  <si>
    <t>SRP9</t>
  </si>
  <si>
    <t>AARS</t>
  </si>
  <si>
    <t>PSMB3</t>
  </si>
  <si>
    <t>PSMB2</t>
  </si>
  <si>
    <t>THBS3</t>
  </si>
  <si>
    <t>TMED10</t>
  </si>
  <si>
    <t>HINT1</t>
  </si>
  <si>
    <t>RARRES1</t>
  </si>
  <si>
    <t>FHIT</t>
  </si>
  <si>
    <t>HNMT</t>
  </si>
  <si>
    <t>GNAQ</t>
  </si>
  <si>
    <t>ST13</t>
  </si>
  <si>
    <t>TNFSF10</t>
  </si>
  <si>
    <t>RASSF2</t>
  </si>
  <si>
    <t>PPT1</t>
  </si>
  <si>
    <t>RAB5C</t>
  </si>
  <si>
    <t>RAB7A</t>
  </si>
  <si>
    <t>RAB9A</t>
  </si>
  <si>
    <t>RAB13</t>
  </si>
  <si>
    <t>MMP15</t>
  </si>
  <si>
    <t>TPMT</t>
  </si>
  <si>
    <t>SGSH</t>
  </si>
  <si>
    <t>LUM</t>
  </si>
  <si>
    <t>FUT6</t>
  </si>
  <si>
    <t>RAP1GDS1</t>
  </si>
  <si>
    <t>HRSP12</t>
  </si>
  <si>
    <t>CAPZA1</t>
  </si>
  <si>
    <t>ARFIP1</t>
  </si>
  <si>
    <t>ACLY</t>
  </si>
  <si>
    <t>MVD</t>
  </si>
  <si>
    <t>CTSC</t>
  </si>
  <si>
    <t>IST1</t>
  </si>
  <si>
    <t>RARS</t>
  </si>
  <si>
    <t>CACNA2D1</t>
  </si>
  <si>
    <t>YARS</t>
  </si>
  <si>
    <t>RAD23B</t>
  </si>
  <si>
    <t>NAGLU</t>
  </si>
  <si>
    <t>MFAP2</t>
  </si>
  <si>
    <t>VCP</t>
  </si>
  <si>
    <t>MANF</t>
  </si>
  <si>
    <t>CASP7</t>
  </si>
  <si>
    <t>CASP6</t>
  </si>
  <si>
    <t>LAMB2</t>
  </si>
  <si>
    <t>CDH13</t>
  </si>
  <si>
    <t>EIF3B</t>
  </si>
  <si>
    <t>BID</t>
  </si>
  <si>
    <t>EIF6</t>
  </si>
  <si>
    <t>RAB25</t>
  </si>
  <si>
    <t>EPPK1</t>
  </si>
  <si>
    <t>MTPN</t>
  </si>
  <si>
    <t>DEFB1</t>
  </si>
  <si>
    <t>TPI1</t>
  </si>
  <si>
    <t>EIF4A1</t>
  </si>
  <si>
    <t>RPS20</t>
  </si>
  <si>
    <t>CDC42</t>
  </si>
  <si>
    <t>DSTN</t>
  </si>
  <si>
    <t>RAB8A</t>
  </si>
  <si>
    <t>SPCS3</t>
  </si>
  <si>
    <t>SRP54</t>
  </si>
  <si>
    <t>RAB2A</t>
  </si>
  <si>
    <t>RAB5B</t>
  </si>
  <si>
    <t>RAB10</t>
  </si>
  <si>
    <t>UBE2D3</t>
  </si>
  <si>
    <t>UBE2M</t>
  </si>
  <si>
    <t>UBE2N</t>
  </si>
  <si>
    <t>RAB14</t>
  </si>
  <si>
    <t>ACTR3</t>
  </si>
  <si>
    <t>ACTR2</t>
  </si>
  <si>
    <t>RAP1B</t>
  </si>
  <si>
    <t>RAP2B</t>
  </si>
  <si>
    <t>RPL27</t>
  </si>
  <si>
    <t>PCBD1</t>
  </si>
  <si>
    <t>RHOA</t>
  </si>
  <si>
    <t>HSPE1</t>
  </si>
  <si>
    <t>LYZ</t>
  </si>
  <si>
    <t>STXBP1</t>
  </si>
  <si>
    <t>TGFB2</t>
  </si>
  <si>
    <t>YWHAG</t>
  </si>
  <si>
    <t>RRAS2</t>
  </si>
  <si>
    <t>PPP1CB</t>
  </si>
  <si>
    <t>PSMC1</t>
  </si>
  <si>
    <t>PSMC5</t>
  </si>
  <si>
    <t>YWHAE</t>
  </si>
  <si>
    <t>RPS14</t>
  </si>
  <si>
    <t>TMSB4X</t>
  </si>
  <si>
    <t>ARF6</t>
  </si>
  <si>
    <t>PSMC6</t>
  </si>
  <si>
    <t>RPL7A</t>
  </si>
  <si>
    <t>RPS4X</t>
  </si>
  <si>
    <t>RHOB</t>
  </si>
  <si>
    <t>RPS6</t>
  </si>
  <si>
    <t>HIST1H4A</t>
  </si>
  <si>
    <t>RAB1A</t>
  </si>
  <si>
    <t>RAP1A</t>
  </si>
  <si>
    <t>RPS25</t>
  </si>
  <si>
    <t>RPS26</t>
  </si>
  <si>
    <t>RPS28</t>
  </si>
  <si>
    <t>GNB1</t>
  </si>
  <si>
    <t>GNB2</t>
  </si>
  <si>
    <t>RPL10A</t>
  </si>
  <si>
    <t>PPIA</t>
  </si>
  <si>
    <t>FKBP1A</t>
  </si>
  <si>
    <t>RPS27A</t>
  </si>
  <si>
    <t>GRB2</t>
  </si>
  <si>
    <t>RAC1</t>
  </si>
  <si>
    <t>GNAS</t>
  </si>
  <si>
    <t>YWHAZ</t>
  </si>
  <si>
    <t>GNG5</t>
  </si>
  <si>
    <t>GNB2L1</t>
  </si>
  <si>
    <t>ACTG1</t>
  </si>
  <si>
    <t>ACTG2</t>
  </si>
  <si>
    <t>TPM4</t>
  </si>
  <si>
    <t>UBE2L3</t>
  </si>
  <si>
    <t>TUBB4B</t>
  </si>
  <si>
    <t>HBB</t>
  </si>
  <si>
    <t>HBA1</t>
  </si>
  <si>
    <t>SIRPA</t>
  </si>
  <si>
    <t>CCT2</t>
  </si>
  <si>
    <t>BTN3A2</t>
  </si>
  <si>
    <t>GSTO1</t>
  </si>
  <si>
    <t>GPLD1</t>
  </si>
  <si>
    <t>NUCB2</t>
  </si>
  <si>
    <t>DCD</t>
  </si>
  <si>
    <t>ARF1</t>
  </si>
  <si>
    <t>ARF5</t>
  </si>
  <si>
    <t>DAB2</t>
  </si>
  <si>
    <t>HSPG2</t>
  </si>
  <si>
    <t>LRP2</t>
  </si>
  <si>
    <t>FGD1</t>
  </si>
  <si>
    <t>PURA</t>
  </si>
  <si>
    <t>CLTC</t>
  </si>
  <si>
    <t>FKBP3</t>
  </si>
  <si>
    <t>SPTBN1</t>
  </si>
  <si>
    <t>SET</t>
  </si>
  <si>
    <t>CTBS</t>
  </si>
  <si>
    <t>CAP1</t>
  </si>
  <si>
    <t>PLCB3</t>
  </si>
  <si>
    <t>ROR1</t>
  </si>
  <si>
    <t>SEMG2</t>
  </si>
  <si>
    <t>DSG1</t>
  </si>
  <si>
    <t>DSC2</t>
  </si>
  <si>
    <t>MAP2K1</t>
  </si>
  <si>
    <t>FKBP4</t>
  </si>
  <si>
    <t>PLOD1</t>
  </si>
  <si>
    <t>NUCB1</t>
  </si>
  <si>
    <t>CFHR3</t>
  </si>
  <si>
    <t>TGFBR3</t>
  </si>
  <si>
    <t>PLAUR</t>
  </si>
  <si>
    <t>CFHR1</t>
  </si>
  <si>
    <t>FOLH1</t>
  </si>
  <si>
    <t>GLO1</t>
  </si>
  <si>
    <t>YWHAH</t>
  </si>
  <si>
    <t>COL14A1</t>
  </si>
  <si>
    <t>ITIH3</t>
  </si>
  <si>
    <t>GFPT1</t>
  </si>
  <si>
    <t>APLP2</t>
  </si>
  <si>
    <t>FMOD</t>
  </si>
  <si>
    <t>PRDX1</t>
  </si>
  <si>
    <t>CKAP4</t>
  </si>
  <si>
    <t>ARHGAP1</t>
  </si>
  <si>
    <t>TGM3</t>
  </si>
  <si>
    <t>DDR1</t>
  </si>
  <si>
    <t>LGALS3BP</t>
  </si>
  <si>
    <t>DSC1</t>
  </si>
  <si>
    <t>CD47</t>
  </si>
  <si>
    <t>AHNAK</t>
  </si>
  <si>
    <t>GALNT2</t>
  </si>
  <si>
    <t>AP1B1</t>
  </si>
  <si>
    <t>BST2</t>
  </si>
  <si>
    <t>TWF1</t>
  </si>
  <si>
    <t>ASPH</t>
  </si>
  <si>
    <t>EFEMP1</t>
  </si>
  <si>
    <t>FSTL1</t>
  </si>
  <si>
    <t>AIMP1</t>
  </si>
  <si>
    <t>PTPRJ</t>
  </si>
  <si>
    <t>ECH1</t>
  </si>
  <si>
    <t>PDZK1IP1</t>
  </si>
  <si>
    <t>AIMP2</t>
  </si>
  <si>
    <t>PRDX4</t>
  </si>
  <si>
    <t>PAK2</t>
  </si>
  <si>
    <t>STK3</t>
  </si>
  <si>
    <t>PSMD2</t>
  </si>
  <si>
    <t>DNAJC3</t>
  </si>
  <si>
    <t>SELENBP1</t>
  </si>
  <si>
    <t>NME3</t>
  </si>
  <si>
    <t>NMI</t>
  </si>
  <si>
    <t>BTN1A1</t>
  </si>
  <si>
    <t>OS9</t>
  </si>
  <si>
    <t>ADAM15</t>
  </si>
  <si>
    <t>BIRC3</t>
  </si>
  <si>
    <t>TSTA3</t>
  </si>
  <si>
    <t>ALCAM</t>
  </si>
  <si>
    <t>LAMB3</t>
  </si>
  <si>
    <t>LAMC2</t>
  </si>
  <si>
    <t>PKP1</t>
  </si>
  <si>
    <t>IDI1</t>
  </si>
  <si>
    <t>CIRBP</t>
  </si>
  <si>
    <t>COTL1</t>
  </si>
  <si>
    <t>DAG1</t>
  </si>
  <si>
    <t>DSG2</t>
  </si>
  <si>
    <t>DPYSL3</t>
  </si>
  <si>
    <t>DYNC1H1</t>
  </si>
  <si>
    <t>EIF4A2</t>
  </si>
  <si>
    <t>CTTN</t>
  </si>
  <si>
    <t>GALNT3</t>
  </si>
  <si>
    <t>WFDC2</t>
  </si>
  <si>
    <t>FGFBP1</t>
  </si>
  <si>
    <t>HABP2</t>
  </si>
  <si>
    <t>PRPSAP1</t>
  </si>
  <si>
    <t>PLS1</t>
  </si>
  <si>
    <t>MESDC2</t>
  </si>
  <si>
    <t>GANAB</t>
  </si>
  <si>
    <t>MBTPS1</t>
  </si>
  <si>
    <t>LTBP1</t>
  </si>
  <si>
    <t>PTGR1</t>
  </si>
  <si>
    <t>KPNB1</t>
  </si>
  <si>
    <t>PSME4</t>
  </si>
  <si>
    <t>KARS</t>
  </si>
  <si>
    <t>EIF4H</t>
  </si>
  <si>
    <t>EEA1</t>
  </si>
  <si>
    <t>PAFAH1B3</t>
  </si>
  <si>
    <t>PCOLCE</t>
  </si>
  <si>
    <t>PLEC</t>
  </si>
  <si>
    <t>PPA1</t>
  </si>
  <si>
    <t>PVRL1</t>
  </si>
  <si>
    <t>QPRT</t>
  </si>
  <si>
    <t>RCN1</t>
  </si>
  <si>
    <t>PCBP1</t>
  </si>
  <si>
    <t>EPHA7</t>
  </si>
  <si>
    <t>PPP1R7</t>
  </si>
  <si>
    <t>FCN2</t>
  </si>
  <si>
    <t>SLC9A3R2</t>
  </si>
  <si>
    <t>NSDHL</t>
  </si>
  <si>
    <t>SLC1A5</t>
  </si>
  <si>
    <t>CHI3L2</t>
  </si>
  <si>
    <t>CST6</t>
  </si>
  <si>
    <t>STXBP2</t>
  </si>
  <si>
    <t>ADIPOQ</t>
  </si>
  <si>
    <t>ATP6AP1</t>
  </si>
  <si>
    <t>RAB11B</t>
  </si>
  <si>
    <t>UAP1</t>
  </si>
  <si>
    <t>IGFBP7</t>
  </si>
  <si>
    <t>SLC15A2</t>
  </si>
  <si>
    <t>LAMA4</t>
  </si>
  <si>
    <t>PSMD5</t>
  </si>
  <si>
    <t>DPYSL2</t>
  </si>
  <si>
    <t>ECM1</t>
  </si>
  <si>
    <t>NTRK2</t>
  </si>
  <si>
    <t>OCLN</t>
  </si>
  <si>
    <t>PRSS8</t>
  </si>
  <si>
    <t>MAN2A1</t>
  </si>
  <si>
    <t>LAMA3</t>
  </si>
  <si>
    <t>UGP2</t>
  </si>
  <si>
    <t>TMEM132A</t>
  </si>
  <si>
    <t>LRRC26</t>
  </si>
  <si>
    <t>LRRFIP1</t>
  </si>
  <si>
    <t>LEPRE1</t>
  </si>
  <si>
    <t>NME1-NME2</t>
  </si>
  <si>
    <t>DAK</t>
  </si>
  <si>
    <t>LGALSL</t>
  </si>
  <si>
    <t>PDCD4</t>
  </si>
  <si>
    <t>TP53I3</t>
  </si>
  <si>
    <t>LACTB2</t>
  </si>
  <si>
    <t>CYBRD1</t>
  </si>
  <si>
    <t>ACPP</t>
  </si>
  <si>
    <t>UTS2</t>
  </si>
  <si>
    <t>TIMP1</t>
  </si>
  <si>
    <t>FLNA</t>
  </si>
  <si>
    <t>TUBB</t>
  </si>
  <si>
    <t>RPS8</t>
  </si>
  <si>
    <t>TOR2A</t>
  </si>
  <si>
    <t>GALE</t>
  </si>
  <si>
    <t>LYPLA2</t>
  </si>
  <si>
    <t>MAPK13</t>
  </si>
  <si>
    <t>HLA-G</t>
  </si>
  <si>
    <t>NPDC1</t>
  </si>
  <si>
    <t>APOM</t>
  </si>
  <si>
    <t>CSNK2B-LY6G5B-1181</t>
  </si>
  <si>
    <t>PAFAH2</t>
  </si>
  <si>
    <t>CMPK1</t>
  </si>
  <si>
    <t>FNBP1L</t>
  </si>
  <si>
    <t>SH3BGRL3</t>
  </si>
  <si>
    <t>CCBL1</t>
  </si>
  <si>
    <t>VTCN1</t>
  </si>
  <si>
    <t>ANXA1</t>
  </si>
  <si>
    <t>UROD</t>
  </si>
  <si>
    <t>RABGGTB</t>
  </si>
  <si>
    <t>SARS</t>
  </si>
  <si>
    <t>HNRNPK</t>
  </si>
  <si>
    <t>KPRP</t>
  </si>
  <si>
    <t>XP32</t>
  </si>
  <si>
    <t>SLC16A1</t>
  </si>
  <si>
    <t>GRHPR</t>
  </si>
  <si>
    <t>PPP2R4</t>
  </si>
  <si>
    <t>ITIH2</t>
  </si>
  <si>
    <t>AK1</t>
  </si>
  <si>
    <t>CAB39L</t>
  </si>
  <si>
    <t>SEMA4A</t>
  </si>
  <si>
    <t>TLN1</t>
  </si>
  <si>
    <t>EIF3I</t>
  </si>
  <si>
    <t>PCDH9</t>
  </si>
  <si>
    <t>EEF1A1P5</t>
  </si>
  <si>
    <t>TPM3</t>
  </si>
  <si>
    <t>OLAH</t>
  </si>
  <si>
    <t>RBP4</t>
  </si>
  <si>
    <t>CFHR5</t>
  </si>
  <si>
    <t>ITM2B</t>
  </si>
  <si>
    <t>TPT1</t>
  </si>
  <si>
    <t>CPZ</t>
  </si>
  <si>
    <t>DKFZp781B11202</t>
  </si>
  <si>
    <t>NCR3LG1</t>
  </si>
  <si>
    <t>VASN</t>
  </si>
  <si>
    <t>PTRHD1</t>
  </si>
  <si>
    <t>Em:AP000351.3</t>
  </si>
  <si>
    <t>ANKRD26P1</t>
  </si>
  <si>
    <t>APOC2</t>
  </si>
  <si>
    <t>ERAP2</t>
  </si>
  <si>
    <t>CASC4</t>
  </si>
  <si>
    <t>C6orf58</t>
  </si>
  <si>
    <t>C8orf47</t>
  </si>
  <si>
    <t>VWA1</t>
  </si>
  <si>
    <t>SPESP1</t>
  </si>
  <si>
    <t>SBSN</t>
  </si>
  <si>
    <t>OLFM4</t>
  </si>
  <si>
    <t>PLXDC2</t>
  </si>
  <si>
    <t>B3GNT9</t>
  </si>
  <si>
    <t>C6orf15</t>
  </si>
  <si>
    <t>CXCL17</t>
  </si>
  <si>
    <t>NPNT</t>
  </si>
  <si>
    <t>TMEM92</t>
  </si>
  <si>
    <t>MUC6</t>
  </si>
  <si>
    <t>CHRDL2</t>
  </si>
  <si>
    <t>SOSTDC1</t>
  </si>
  <si>
    <t>CD109</t>
  </si>
  <si>
    <t>CCBL2</t>
  </si>
  <si>
    <t>SLCO4C1</t>
  </si>
  <si>
    <t>NCCRP1</t>
  </si>
  <si>
    <t>C1orf186</t>
  </si>
  <si>
    <t>TUBA1A</t>
  </si>
  <si>
    <t>SND1</t>
  </si>
  <si>
    <t>BZW1</t>
  </si>
  <si>
    <t>ASRGL1</t>
  </si>
  <si>
    <t>CHMP1B</t>
  </si>
  <si>
    <t>MAMDC2</t>
  </si>
  <si>
    <t>TMC4</t>
  </si>
  <si>
    <t>AP2B1</t>
  </si>
  <si>
    <t>MDGA2</t>
  </si>
  <si>
    <t>C15orf38</t>
  </si>
  <si>
    <t>HUWE1</t>
  </si>
  <si>
    <t>TMED4</t>
  </si>
  <si>
    <t>MEGF8</t>
  </si>
  <si>
    <t>GALNT5</t>
  </si>
  <si>
    <t>GPR126</t>
  </si>
  <si>
    <t>KTN1</t>
  </si>
  <si>
    <t>TXNDC5</t>
  </si>
  <si>
    <t>GPR180</t>
  </si>
  <si>
    <t>CAND1</t>
  </si>
  <si>
    <t>CCDC25</t>
  </si>
  <si>
    <t>RALGPS2</t>
  </si>
  <si>
    <t>XYLT1</t>
  </si>
  <si>
    <t>STX12</t>
  </si>
  <si>
    <t>AEBP1</t>
  </si>
  <si>
    <t>PLD3</t>
  </si>
  <si>
    <t>C1orf210</t>
  </si>
  <si>
    <t>FAM20C</t>
  </si>
  <si>
    <t>ANKRD13A</t>
  </si>
  <si>
    <t>PHACTR4</t>
  </si>
  <si>
    <t>SPG20</t>
  </si>
  <si>
    <t>LRRC47</t>
  </si>
  <si>
    <t>PROM2</t>
  </si>
  <si>
    <t>GPD1L</t>
  </si>
  <si>
    <t>MUC15</t>
  </si>
  <si>
    <t>ARHGAP18</t>
  </si>
  <si>
    <t>SFRP1</t>
  </si>
  <si>
    <t>DCBLD1</t>
  </si>
  <si>
    <t>TC2N</t>
  </si>
  <si>
    <t>NHLRC2</t>
  </si>
  <si>
    <t>GOLM1</t>
  </si>
  <si>
    <t>SERBP1</t>
  </si>
  <si>
    <t>PLA2G15</t>
  </si>
  <si>
    <t>GALNT6</t>
  </si>
  <si>
    <t>FAM83F</t>
  </si>
  <si>
    <t>LFNG</t>
  </si>
  <si>
    <t>B3GNT7</t>
  </si>
  <si>
    <t>DNER</t>
  </si>
  <si>
    <t>FDCSP</t>
  </si>
  <si>
    <t>CADM4</t>
  </si>
  <si>
    <t>SVIP</t>
  </si>
  <si>
    <t>TRY6</t>
  </si>
  <si>
    <t>PLBD2</t>
  </si>
  <si>
    <t>MCFD2</t>
  </si>
  <si>
    <t>ITFG1</t>
  </si>
  <si>
    <t>FAM174A</t>
  </si>
  <si>
    <t>DTD1</t>
  </si>
  <si>
    <t>TSKU</t>
  </si>
  <si>
    <t>C12orf23</t>
  </si>
  <si>
    <t>PDCD6IP</t>
  </si>
  <si>
    <t>TGFB3</t>
  </si>
  <si>
    <t>RPS21</t>
  </si>
  <si>
    <t>CANT1</t>
  </si>
  <si>
    <t>UBLCP1</t>
  </si>
  <si>
    <t>SLC5A11</t>
  </si>
  <si>
    <t>SELM</t>
  </si>
  <si>
    <t>IFT81</t>
  </si>
  <si>
    <t>LGALS9</t>
  </si>
  <si>
    <t>LZIC</t>
  </si>
  <si>
    <t>IRGQ</t>
  </si>
  <si>
    <t>SMPDL3B</t>
  </si>
  <si>
    <t>DDX1</t>
  </si>
  <si>
    <t>FAM3C</t>
  </si>
  <si>
    <t>NDRG1</t>
  </si>
  <si>
    <t>HSPH1</t>
  </si>
  <si>
    <t>PXDN</t>
  </si>
  <si>
    <t>SORL1</t>
  </si>
  <si>
    <t>PVRL2</t>
  </si>
  <si>
    <t>ARPC1A</t>
  </si>
  <si>
    <t>GGH</t>
  </si>
  <si>
    <t>NEO1</t>
  </si>
  <si>
    <t>KLK6</t>
  </si>
  <si>
    <t>OSTF1</t>
  </si>
  <si>
    <t>GLG1</t>
  </si>
  <si>
    <t>HGD</t>
  </si>
  <si>
    <t>IGSF8</t>
  </si>
  <si>
    <t>SPSB4</t>
  </si>
  <si>
    <t>LRRC59</t>
  </si>
  <si>
    <t>CREB3L1</t>
  </si>
  <si>
    <t>EFHD2</t>
  </si>
  <si>
    <t>CHMP4C</t>
  </si>
  <si>
    <t>ISOC1</t>
  </si>
  <si>
    <t>ZG16B</t>
  </si>
  <si>
    <t>NUDT16</t>
  </si>
  <si>
    <t>ERLEC1</t>
  </si>
  <si>
    <t>C1GALT1C1</t>
  </si>
  <si>
    <t>PIK3IP1</t>
  </si>
  <si>
    <t>S100A16</t>
  </si>
  <si>
    <t>PGM2</t>
  </si>
  <si>
    <t>CRELD1</t>
  </si>
  <si>
    <t>ERO1L</t>
  </si>
  <si>
    <t>DDRGK1</t>
  </si>
  <si>
    <t>GMPPA</t>
  </si>
  <si>
    <t>CPB2</t>
  </si>
  <si>
    <t>USP47</t>
  </si>
  <si>
    <t>FAM84B</t>
  </si>
  <si>
    <t>CNDP2</t>
  </si>
  <si>
    <t>EPHB4</t>
  </si>
  <si>
    <t>DHRS1</t>
  </si>
  <si>
    <t>PRRC1</t>
  </si>
  <si>
    <t>ADAD1</t>
  </si>
  <si>
    <t>FAM20A</t>
  </si>
  <si>
    <t>PVRL4</t>
  </si>
  <si>
    <t>PGLYRP2</t>
  </si>
  <si>
    <t>PLIN4</t>
  </si>
  <si>
    <t>VPS35</t>
  </si>
  <si>
    <t>PURB</t>
  </si>
  <si>
    <t>SNX18</t>
  </si>
  <si>
    <t>PEBP4</t>
  </si>
  <si>
    <t>FAM129B</t>
  </si>
  <si>
    <t>PSMB7</t>
  </si>
  <si>
    <t>PCYT2</t>
  </si>
  <si>
    <t>PSMD1</t>
  </si>
  <si>
    <t>PARK7</t>
  </si>
  <si>
    <t>NEU1</t>
  </si>
  <si>
    <t>SORT1</t>
  </si>
  <si>
    <t>VAT1</t>
  </si>
  <si>
    <t>LGMN</t>
  </si>
  <si>
    <t>PLIN2</t>
  </si>
  <si>
    <t>SERPINI1</t>
  </si>
  <si>
    <t>S100A13</t>
  </si>
  <si>
    <t>OSMR</t>
  </si>
  <si>
    <t>CGREF1</t>
  </si>
  <si>
    <t>TIMP4</t>
  </si>
  <si>
    <t>TM9SF2</t>
  </si>
  <si>
    <t>CIB1</t>
  </si>
  <si>
    <t>CCT7</t>
  </si>
  <si>
    <t>HIST1H2AJ</t>
  </si>
  <si>
    <t>ATF6B</t>
  </si>
  <si>
    <t>ARPC5L</t>
  </si>
  <si>
    <t>CORO1B</t>
  </si>
  <si>
    <t>TXNDC17</t>
  </si>
  <si>
    <t>SDF4</t>
  </si>
  <si>
    <t>ERP44</t>
  </si>
  <si>
    <t>LXN</t>
  </si>
  <si>
    <t>PRADC1</t>
  </si>
  <si>
    <t>HDHD3</t>
  </si>
  <si>
    <t>ESYT1</t>
  </si>
  <si>
    <t>FUCA2</t>
  </si>
  <si>
    <t>PRKAR2A</t>
  </si>
  <si>
    <t>TUBB6</t>
  </si>
  <si>
    <t>CRB3</t>
  </si>
  <si>
    <t>EFHD1</t>
  </si>
  <si>
    <t>TMEM109</t>
  </si>
  <si>
    <t>PBDC1</t>
  </si>
  <si>
    <t>DUSP23</t>
  </si>
  <si>
    <t>SARG</t>
  </si>
  <si>
    <t>ACAT2</t>
  </si>
  <si>
    <t>C1QTNF1</t>
  </si>
  <si>
    <t>CADM1</t>
  </si>
  <si>
    <t>ANGPTL4</t>
  </si>
  <si>
    <t>ACE2</t>
  </si>
  <si>
    <t>PRRG4</t>
  </si>
  <si>
    <t>TINAGL1</t>
  </si>
  <si>
    <t>PRSS22</t>
  </si>
  <si>
    <t>PDGFD</t>
  </si>
  <si>
    <t>TOLLIP</t>
  </si>
  <si>
    <t>RAB6C</t>
  </si>
  <si>
    <t>FAM49A</t>
  </si>
  <si>
    <t>RAB1B</t>
  </si>
  <si>
    <t>C11orf54</t>
  </si>
  <si>
    <t>ITFG3</t>
  </si>
  <si>
    <t>SIL1</t>
  </si>
  <si>
    <t>CYSTM1</t>
  </si>
  <si>
    <t>UPF3A</t>
  </si>
  <si>
    <t>DNAJC25</t>
  </si>
  <si>
    <t>EHD4</t>
  </si>
  <si>
    <t>C1orf21</t>
  </si>
  <si>
    <t>CARD9</t>
  </si>
  <si>
    <t>SLK</t>
  </si>
  <si>
    <t>TAOK3</t>
  </si>
  <si>
    <t>KCNN2</t>
  </si>
  <si>
    <t>CPVL</t>
  </si>
  <si>
    <t>BOLA2</t>
  </si>
  <si>
    <t>DNAJC5</t>
  </si>
  <si>
    <t>CHMP4B</t>
  </si>
  <si>
    <t>FN3K</t>
  </si>
  <si>
    <t>SMOC1</t>
  </si>
  <si>
    <t>GLIPR2</t>
  </si>
  <si>
    <t>EPS8L2</t>
  </si>
  <si>
    <t>C12orf49</t>
  </si>
  <si>
    <t>GREM2</t>
  </si>
  <si>
    <t>DCTPP1</t>
  </si>
  <si>
    <t>TMEM206</t>
  </si>
  <si>
    <t>MANSC1</t>
  </si>
  <si>
    <t>FAM188A</t>
  </si>
  <si>
    <t>MOB1A</t>
  </si>
  <si>
    <t>PPCS</t>
  </si>
  <si>
    <t>SIAE</t>
  </si>
  <si>
    <t>GNB4</t>
  </si>
  <si>
    <t>SCPEP1</t>
  </si>
  <si>
    <t>NTN4</t>
  </si>
  <si>
    <t>CACYBP</t>
  </si>
  <si>
    <t>SLC38A10</t>
  </si>
  <si>
    <t>GLOD4</t>
  </si>
  <si>
    <t>WFDC1</t>
  </si>
  <si>
    <t>SPON1</t>
  </si>
  <si>
    <t>CELSR2</t>
  </si>
  <si>
    <t>S100A14</t>
  </si>
  <si>
    <t>RAB18</t>
  </si>
  <si>
    <t>HINT3</t>
  </si>
  <si>
    <t>NIT2</t>
  </si>
  <si>
    <t>KIF13B</t>
  </si>
  <si>
    <t>XPNPEP1</t>
  </si>
  <si>
    <t>CD163L1</t>
  </si>
  <si>
    <t>ACSS2</t>
  </si>
  <si>
    <t>SAR1A</t>
  </si>
  <si>
    <t>NANS</t>
  </si>
  <si>
    <t>MXRA5</t>
  </si>
  <si>
    <t>UBQLN4</t>
  </si>
  <si>
    <t>CDC42SE1</t>
  </si>
  <si>
    <t>HEBP1</t>
  </si>
  <si>
    <t>FARSB</t>
  </si>
  <si>
    <t>ATG3</t>
  </si>
  <si>
    <t>ECHDC1</t>
  </si>
  <si>
    <t>CCDC87</t>
  </si>
  <si>
    <t>EVA1B</t>
  </si>
  <si>
    <t>FAM49B</t>
  </si>
  <si>
    <t>ADPRHL2</t>
  </si>
  <si>
    <t>HYPK</t>
  </si>
  <si>
    <t>IMPAD1</t>
  </si>
  <si>
    <t>STAB1</t>
  </si>
  <si>
    <t>B3GNT2</t>
  </si>
  <si>
    <t>FAT2</t>
  </si>
  <si>
    <t>UGGT1</t>
  </si>
  <si>
    <t>ERAP1</t>
  </si>
  <si>
    <t>PLA2G3</t>
  </si>
  <si>
    <t>EIF2AK3</t>
  </si>
  <si>
    <t>C1RL</t>
  </si>
  <si>
    <t>CALML5</t>
  </si>
  <si>
    <t>CRIM1</t>
  </si>
  <si>
    <t>CHMP5</t>
  </si>
  <si>
    <t>JKAMP</t>
  </si>
  <si>
    <t>VAPA</t>
  </si>
  <si>
    <t>COX16</t>
  </si>
  <si>
    <t>ABRACL</t>
  </si>
  <si>
    <t>PTGFRN</t>
  </si>
  <si>
    <t>RRBP1</t>
  </si>
  <si>
    <t>TXNDC16</t>
  </si>
  <si>
    <t>DPM3</t>
  </si>
  <si>
    <t>GNG12</t>
  </si>
  <si>
    <t>CTSZ</t>
  </si>
  <si>
    <t>DNAJB9</t>
  </si>
  <si>
    <t>CTSF</t>
  </si>
  <si>
    <t>MPZL1</t>
  </si>
  <si>
    <t>IL19</t>
  </si>
  <si>
    <t>SEPT9</t>
  </si>
  <si>
    <t>PCSK1N</t>
  </si>
  <si>
    <t>ADAMTS1</t>
  </si>
  <si>
    <t>DPP7</t>
  </si>
  <si>
    <t>PFDN2</t>
  </si>
  <si>
    <t>GNPTG</t>
  </si>
  <si>
    <t>DCTN4</t>
  </si>
  <si>
    <t>PACSIN3</t>
  </si>
  <si>
    <t>CDV3</t>
  </si>
  <si>
    <t>RAB21</t>
  </si>
  <si>
    <t>RAB22A</t>
  </si>
  <si>
    <t>MCTS1</t>
  </si>
  <si>
    <t>YEATS2</t>
  </si>
  <si>
    <t>PYCARD</t>
  </si>
  <si>
    <t>UBQLN1</t>
  </si>
  <si>
    <t>NENF</t>
  </si>
  <si>
    <t>SNX12</t>
  </si>
  <si>
    <t>PCDHGC3</t>
  </si>
  <si>
    <t>SLC6A14</t>
  </si>
  <si>
    <t>PACSIN2</t>
  </si>
  <si>
    <t>PSMD13</t>
  </si>
  <si>
    <t>ABCG2</t>
  </si>
  <si>
    <t>MINPP1</t>
  </si>
  <si>
    <t>PA2G4</t>
  </si>
  <si>
    <t>NUDC</t>
  </si>
  <si>
    <t>B3GNT3</t>
  </si>
  <si>
    <t>CNPY2</t>
  </si>
  <si>
    <t>CRYL1</t>
  </si>
  <si>
    <t>CARHSP1</t>
  </si>
  <si>
    <t>SUGT1</t>
  </si>
  <si>
    <t>CAB39</t>
  </si>
  <si>
    <t>SBDS</t>
  </si>
  <si>
    <t>TMED7</t>
  </si>
  <si>
    <t>UFC1</t>
  </si>
  <si>
    <t>FIS1</t>
  </si>
  <si>
    <t>CHMP3</t>
  </si>
  <si>
    <t>PCDHB4</t>
  </si>
  <si>
    <t>GMPPB</t>
  </si>
  <si>
    <t>SNX5</t>
  </si>
  <si>
    <t>LIPG</t>
  </si>
  <si>
    <t>ST14</t>
  </si>
  <si>
    <t>HEBP2</t>
  </si>
  <si>
    <t>PSAT1</t>
  </si>
  <si>
    <t>CPQ</t>
  </si>
  <si>
    <t>GPR56</t>
  </si>
  <si>
    <t>COPG1</t>
  </si>
  <si>
    <t>AUP1</t>
  </si>
  <si>
    <t>CLIC4</t>
  </si>
  <si>
    <t>SAR1B</t>
  </si>
  <si>
    <t>STK24</t>
  </si>
  <si>
    <t>FCGBP</t>
  </si>
  <si>
    <t>ENPP4</t>
  </si>
  <si>
    <t>LY96</t>
  </si>
  <si>
    <t>ACTR1A</t>
  </si>
  <si>
    <t>YTHDF3</t>
  </si>
  <si>
    <t>TSTD1</t>
  </si>
  <si>
    <t>A0AVT1</t>
  </si>
  <si>
    <t>A0M8Q6</t>
  </si>
  <si>
    <t>A0MZ66</t>
  </si>
  <si>
    <t>A2A2D0</t>
  </si>
  <si>
    <t>A2A2U4</t>
  </si>
  <si>
    <t>A2A2V1</t>
  </si>
  <si>
    <t>A2A2V4</t>
  </si>
  <si>
    <t>A2IBA6</t>
  </si>
  <si>
    <t>A3KFI5</t>
  </si>
  <si>
    <t>A6NF51</t>
  </si>
  <si>
    <t>A6NG51</t>
  </si>
  <si>
    <t>A6NJ16</t>
  </si>
  <si>
    <t>A6NJA2</t>
  </si>
  <si>
    <t>A6NJH9</t>
  </si>
  <si>
    <t>A6NJU6</t>
  </si>
  <si>
    <t>A6NKB8</t>
  </si>
  <si>
    <t>A6NMQ3</t>
  </si>
  <si>
    <t>A6NNI4</t>
  </si>
  <si>
    <t>A6PVX3</t>
  </si>
  <si>
    <t>A6QRH7</t>
  </si>
  <si>
    <t>A8CZ64</t>
  </si>
  <si>
    <t>A8MTF8</t>
  </si>
  <si>
    <t>A8MU39</t>
  </si>
  <si>
    <t>A8MU44</t>
  </si>
  <si>
    <t>A8MUB1</t>
  </si>
  <si>
    <t>A8MUD9</t>
  </si>
  <si>
    <t>A8MVQ3</t>
  </si>
  <si>
    <t>A8MVZ9</t>
  </si>
  <si>
    <t>A8MX94</t>
  </si>
  <si>
    <t>A8MXB9</t>
  </si>
  <si>
    <t>A8MXL6</t>
  </si>
  <si>
    <t>A8MZ87</t>
  </si>
  <si>
    <t>B0AZV0</t>
  </si>
  <si>
    <t>B0QY51</t>
  </si>
  <si>
    <t>B0QYF0</t>
  </si>
  <si>
    <t>B0S7V7</t>
  </si>
  <si>
    <t>B0S7Z5</t>
  </si>
  <si>
    <t>B0UY14</t>
  </si>
  <si>
    <t>B0V043</t>
  </si>
  <si>
    <t>B0V0T3</t>
  </si>
  <si>
    <t>B0V1E4</t>
  </si>
  <si>
    <t>B0YIW2</t>
  </si>
  <si>
    <t>B0YIW6</t>
  </si>
  <si>
    <t>B0YJC4</t>
  </si>
  <si>
    <t>B1AJY5</t>
  </si>
  <si>
    <t>B1AK87</t>
  </si>
  <si>
    <t>B1AKD8</t>
  </si>
  <si>
    <t>B1AKZ5</t>
  </si>
  <si>
    <t>B1ALD8</t>
  </si>
  <si>
    <t>B1ALD9</t>
  </si>
  <si>
    <t>B1AN99</t>
  </si>
  <si>
    <t>B1ARP7</t>
  </si>
  <si>
    <t>B1AVQ5</t>
  </si>
  <si>
    <t>B2R9R8</t>
  </si>
  <si>
    <t>B3KRD8</t>
  </si>
  <si>
    <t>B3KUE5</t>
  </si>
  <si>
    <t>B3KUK2</t>
  </si>
  <si>
    <t>B3KVN2</t>
  </si>
  <si>
    <t>B3KW71</t>
  </si>
  <si>
    <t>B3KWE1</t>
  </si>
  <si>
    <t>B4DDD6</t>
  </si>
  <si>
    <t>B4DE40</t>
  </si>
  <si>
    <t>B4DEK4</t>
  </si>
  <si>
    <t>B4DEM7</t>
  </si>
  <si>
    <t>B4DF51</t>
  </si>
  <si>
    <t>B4DFC9</t>
  </si>
  <si>
    <t>B4DIT7</t>
  </si>
  <si>
    <t>B4DIU3</t>
  </si>
  <si>
    <t>B4DJA5</t>
  </si>
  <si>
    <t>B4DJS7</t>
  </si>
  <si>
    <t>B4DKL4</t>
  </si>
  <si>
    <t>B4DLC0</t>
  </si>
  <si>
    <t>B4DN22</t>
  </si>
  <si>
    <t>B4DN45</t>
  </si>
  <si>
    <t>B4DNW0</t>
  </si>
  <si>
    <t>B4DNW5</t>
  </si>
  <si>
    <t>B4DP17</t>
  </si>
  <si>
    <t>B4DPG6</t>
  </si>
  <si>
    <t>B4DQ68</t>
  </si>
  <si>
    <t>B4DQI4</t>
  </si>
  <si>
    <t>B4DQJ8</t>
  </si>
  <si>
    <t>B4DQR1</t>
  </si>
  <si>
    <t>B4DR52</t>
  </si>
  <si>
    <t>B4DR94</t>
  </si>
  <si>
    <t>B4DRN8</t>
  </si>
  <si>
    <t>B4DSV9</t>
  </si>
  <si>
    <t>B4DT77</t>
  </si>
  <si>
    <t>B4DUC8</t>
  </si>
  <si>
    <t>B4DUI3</t>
  </si>
  <si>
    <t>B4DUR8</t>
  </si>
  <si>
    <t>B4DWJ2</t>
  </si>
  <si>
    <t>B4E0V0</t>
  </si>
  <si>
    <t>B4E1J0</t>
  </si>
  <si>
    <t>B4E1Z4</t>
  </si>
  <si>
    <t>B4E2C0</t>
  </si>
  <si>
    <t>B4E2S7</t>
  </si>
  <si>
    <t>B4E2V5</t>
  </si>
  <si>
    <t>B4E2X5</t>
  </si>
  <si>
    <t>B4E2Z0</t>
  </si>
  <si>
    <t>B4E351</t>
  </si>
  <si>
    <t>B4E3A5</t>
  </si>
  <si>
    <t>B4E3Q4</t>
  </si>
  <si>
    <t>B5MBX2</t>
  </si>
  <si>
    <t>B5MC82</t>
  </si>
  <si>
    <t>B5MCA4</t>
  </si>
  <si>
    <t>B5MD23</t>
  </si>
  <si>
    <t>B5MD87</t>
  </si>
  <si>
    <t>B7WPD9</t>
  </si>
  <si>
    <t>B7Z1I4</t>
  </si>
  <si>
    <t>B7Z1R5</t>
  </si>
  <si>
    <t>B7Z254</t>
  </si>
  <si>
    <t>B7Z3I9</t>
  </si>
  <si>
    <t>B7Z4K6</t>
  </si>
  <si>
    <t>B7Z4L4</t>
  </si>
  <si>
    <t>B7Z5C0</t>
  </si>
  <si>
    <t>B7Z5N7</t>
  </si>
  <si>
    <t>B7Z5W1</t>
  </si>
  <si>
    <t>B7Z729</t>
  </si>
  <si>
    <t>B7Z7P8</t>
  </si>
  <si>
    <t>B7Z831</t>
  </si>
  <si>
    <t>B7Z8T3</t>
  </si>
  <si>
    <t>B7Z9C4</t>
  </si>
  <si>
    <t>B7Z9L0</t>
  </si>
  <si>
    <t>B7ZKJ8</t>
  </si>
  <si>
    <t>B7ZMG9</t>
  </si>
  <si>
    <t>B8ZZ77</t>
  </si>
  <si>
    <t>B8ZZK4</t>
  </si>
  <si>
    <t>B8ZZQ6</t>
  </si>
  <si>
    <t>B8ZZT4</t>
  </si>
  <si>
    <t>B8ZZU8</t>
  </si>
  <si>
    <t>B9A064</t>
  </si>
  <si>
    <t>C9IZ46</t>
  </si>
  <si>
    <t>C9IZE4</t>
  </si>
  <si>
    <t>C9IZG4</t>
  </si>
  <si>
    <t>C9J0E4</t>
  </si>
  <si>
    <t>C9J0T6</t>
  </si>
  <si>
    <t>C9J1D9</t>
  </si>
  <si>
    <t>C9J2Z4</t>
  </si>
  <si>
    <t>C9J4Z0</t>
  </si>
  <si>
    <t>C9J5C3</t>
  </si>
  <si>
    <t>C9J686</t>
  </si>
  <si>
    <t>C9J6H2</t>
  </si>
  <si>
    <t>C9J6N5</t>
  </si>
  <si>
    <t>C9J815</t>
  </si>
  <si>
    <t>C9J8H1</t>
  </si>
  <si>
    <t>C9J8S2</t>
  </si>
  <si>
    <t>C9J8U2</t>
  </si>
  <si>
    <t>C9J931</t>
  </si>
  <si>
    <t>C9J9K3</t>
  </si>
  <si>
    <t>C9J9T0</t>
  </si>
  <si>
    <t>C9J9W2</t>
  </si>
  <si>
    <t>C9JCN0</t>
  </si>
  <si>
    <t>C9JDV1</t>
  </si>
  <si>
    <t>C9JDX1</t>
  </si>
  <si>
    <t>C9JEU5</t>
  </si>
  <si>
    <t>C9JEV0</t>
  </si>
  <si>
    <t>C9JEV6</t>
  </si>
  <si>
    <t>C9JF17</t>
  </si>
  <si>
    <t>C9JFE4</t>
  </si>
  <si>
    <t>C9JFM0</t>
  </si>
  <si>
    <t>C9JFX5</t>
  </si>
  <si>
    <t>C9JGI3</t>
  </si>
  <si>
    <t>C9JH92</t>
  </si>
  <si>
    <t>C9JHJ7</t>
  </si>
  <si>
    <t>C9JIM0</t>
  </si>
  <si>
    <t>C9JIZ6</t>
  </si>
  <si>
    <t>C9JMA6</t>
  </si>
  <si>
    <t>C9JTY3</t>
  </si>
  <si>
    <t>C9JV08</t>
  </si>
  <si>
    <t>C9JVB2</t>
  </si>
  <si>
    <t>C9JXB8</t>
  </si>
  <si>
    <t>C9JYY6</t>
  </si>
  <si>
    <t>D0FY33</t>
  </si>
  <si>
    <t>D3DQ64</t>
  </si>
  <si>
    <t>D6R907</t>
  </si>
  <si>
    <t>D6R997</t>
  </si>
  <si>
    <t>D6R9B6</t>
  </si>
  <si>
    <t>D6R9P2</t>
  </si>
  <si>
    <t>D6R9S9</t>
  </si>
  <si>
    <t>D6RA00</t>
  </si>
  <si>
    <t>D6RAX7</t>
  </si>
  <si>
    <t>D6RBV2</t>
  </si>
  <si>
    <t>D6RBW1</t>
  </si>
  <si>
    <t>D6RC73</t>
  </si>
  <si>
    <t>D6RD47</t>
  </si>
  <si>
    <t>D6RD83</t>
  </si>
  <si>
    <t>D6RDM7</t>
  </si>
  <si>
    <t>D6RDP1</t>
  </si>
  <si>
    <t>D6REB4</t>
  </si>
  <si>
    <t>D6REB5</t>
  </si>
  <si>
    <t>D6REE0</t>
  </si>
  <si>
    <t>D6REX5</t>
  </si>
  <si>
    <t>D6RF62</t>
  </si>
  <si>
    <t>D6RFH4</t>
  </si>
  <si>
    <t>D6RG15</t>
  </si>
  <si>
    <t>D6RGF4</t>
  </si>
  <si>
    <t>D6RGV2</t>
  </si>
  <si>
    <t>D6RHI9</t>
  </si>
  <si>
    <t>D6RIW1</t>
  </si>
  <si>
    <t>D7UEQ7</t>
  </si>
  <si>
    <t>E5RFY9</t>
  </si>
  <si>
    <t>E5RG27</t>
  </si>
  <si>
    <t>E5RGR0</t>
  </si>
  <si>
    <t>E5RGS4</t>
  </si>
  <si>
    <t>E5RI95</t>
  </si>
  <si>
    <t>E5RII8</t>
  </si>
  <si>
    <t>E5RIK5</t>
  </si>
  <si>
    <t>E5RIT4</t>
  </si>
  <si>
    <t>E5RIW3</t>
  </si>
  <si>
    <t>E5RJB8</t>
  </si>
  <si>
    <t>E5RJE3</t>
  </si>
  <si>
    <t>E5RJR5</t>
  </si>
  <si>
    <t>E5RJU9</t>
  </si>
  <si>
    <t>E5RK99</t>
  </si>
  <si>
    <t>E7EM64</t>
  </si>
  <si>
    <t>E7EMB1</t>
  </si>
  <si>
    <t>E7EMB6</t>
  </si>
  <si>
    <t>E7EMV0</t>
  </si>
  <si>
    <t>E7END6</t>
  </si>
  <si>
    <t>E7ENN3</t>
  </si>
  <si>
    <t>E7ENZ3</t>
  </si>
  <si>
    <t>E7EPB3</t>
  </si>
  <si>
    <t>E7EPD0</t>
  </si>
  <si>
    <t>E7EQR8</t>
  </si>
  <si>
    <t>E7EQV9</t>
  </si>
  <si>
    <t>E7ER27</t>
  </si>
  <si>
    <t>E7ERV9</t>
  </si>
  <si>
    <t>E7ES19</t>
  </si>
  <si>
    <t>E7ETU9</t>
  </si>
  <si>
    <t>E7ETZ0</t>
  </si>
  <si>
    <t>E7EU05</t>
  </si>
  <si>
    <t>E7EU09</t>
  </si>
  <si>
    <t>E7EU23</t>
  </si>
  <si>
    <t>E7EUG3</t>
  </si>
  <si>
    <t>E7EUL7</t>
  </si>
  <si>
    <t>E7EUU1</t>
  </si>
  <si>
    <t>E7EVJ3</t>
  </si>
  <si>
    <t>E7EVU7</t>
  </si>
  <si>
    <t>E7EW20</t>
  </si>
  <si>
    <t>E7EWE1</t>
  </si>
  <si>
    <t>E7EX17</t>
  </si>
  <si>
    <t>E7EX60</t>
  </si>
  <si>
    <t>E7EX73</t>
  </si>
  <si>
    <t>E7EX90</t>
  </si>
  <si>
    <t>E7EXA3</t>
  </si>
  <si>
    <t>E9PAQ1</t>
  </si>
  <si>
    <t>E9PB61</t>
  </si>
  <si>
    <t>E9PBJ0</t>
  </si>
  <si>
    <t>E9PBU3</t>
  </si>
  <si>
    <t>E9PC74</t>
  </si>
  <si>
    <t>E9PCD7</t>
  </si>
  <si>
    <t>E9PCV0</t>
  </si>
  <si>
    <t>E9PDB2</t>
  </si>
  <si>
    <t>E9PDQ1</t>
  </si>
  <si>
    <t>E9PDY6</t>
  </si>
  <si>
    <t>E9PFD9</t>
  </si>
  <si>
    <t>E9PFN5</t>
  </si>
  <si>
    <t>E9PFZ2</t>
  </si>
  <si>
    <t>E9PGN7</t>
  </si>
  <si>
    <t>E9PGT1</t>
  </si>
  <si>
    <t>E9PH29</t>
  </si>
  <si>
    <t>E9PH32</t>
  </si>
  <si>
    <t>E9PHI6</t>
  </si>
  <si>
    <t>E9PHK0</t>
  </si>
  <si>
    <t>E9PI87</t>
  </si>
  <si>
    <t>E9PIN0</t>
  </si>
  <si>
    <t>E9PIR7</t>
  </si>
  <si>
    <t>E9PJ81</t>
  </si>
  <si>
    <t>E9PJD9</t>
  </si>
  <si>
    <t>E9PJK1</t>
  </si>
  <si>
    <t>E9PJP1</t>
  </si>
  <si>
    <t>E9PK01</t>
  </si>
  <si>
    <t>E9PK47</t>
  </si>
  <si>
    <t>E9PKP6</t>
  </si>
  <si>
    <t>E9PKZ0</t>
  </si>
  <si>
    <t>E9PL10</t>
  </si>
  <si>
    <t>E9PL22</t>
  </si>
  <si>
    <t>E9PL74</t>
  </si>
  <si>
    <t>E9PLB2</t>
  </si>
  <si>
    <t>E9PLK3</t>
  </si>
  <si>
    <t>E9PM69</t>
  </si>
  <si>
    <t>E9PMD7</t>
  </si>
  <si>
    <t>E9PMT1</t>
  </si>
  <si>
    <t>E9PMY3</t>
  </si>
  <si>
    <t>E9PNA1</t>
  </si>
  <si>
    <t>E9PNK6</t>
  </si>
  <si>
    <t>E9PNW4</t>
  </si>
  <si>
    <t>E9PP31</t>
  </si>
  <si>
    <t>E9PP73</t>
  </si>
  <si>
    <t>E9PPC8</t>
  </si>
  <si>
    <t>E9PPJ5</t>
  </si>
  <si>
    <t>E9PQI5</t>
  </si>
  <si>
    <t>E9PQY2</t>
  </si>
  <si>
    <t>E9PR30</t>
  </si>
  <si>
    <t>E9PRR2</t>
  </si>
  <si>
    <t>F2Z2U8</t>
  </si>
  <si>
    <t>F2Z393</t>
  </si>
  <si>
    <t>F5GWT4</t>
  </si>
  <si>
    <t>F5GWY5</t>
  </si>
  <si>
    <t>F5GX71</t>
  </si>
  <si>
    <t>F5GX85</t>
  </si>
  <si>
    <t>F5GXC3</t>
  </si>
  <si>
    <t>F5GXI4</t>
  </si>
  <si>
    <t>F5GXQ0</t>
  </si>
  <si>
    <t>F5GY03</t>
  </si>
  <si>
    <t>F5GY07</t>
  </si>
  <si>
    <t>F5GY99</t>
  </si>
  <si>
    <t>F5GYC9</t>
  </si>
  <si>
    <t>F5GYN4</t>
  </si>
  <si>
    <t>F5GYQ6</t>
  </si>
  <si>
    <t>F5GYU8</t>
  </si>
  <si>
    <t>F5GZ54</t>
  </si>
  <si>
    <t>F5GZD9</t>
  </si>
  <si>
    <t>F5GZS6</t>
  </si>
  <si>
    <t>F5GZT4</t>
  </si>
  <si>
    <t>F5GZY7</t>
  </si>
  <si>
    <t>F5H0B0</t>
  </si>
  <si>
    <t>F5H0U9</t>
  </si>
  <si>
    <t>F5H0X8</t>
  </si>
  <si>
    <t>F5H157</t>
  </si>
  <si>
    <t>F5H163</t>
  </si>
  <si>
    <t>F5H169</t>
  </si>
  <si>
    <t>F5H1S8</t>
  </si>
  <si>
    <t>F5H1T5</t>
  </si>
  <si>
    <t>F5H241</t>
  </si>
  <si>
    <t>F5H2A7</t>
  </si>
  <si>
    <t>F5H2F4</t>
  </si>
  <si>
    <t>F5H2S7</t>
  </si>
  <si>
    <t>F5H335</t>
  </si>
  <si>
    <t>F5H3A0</t>
  </si>
  <si>
    <t>F5H3P3</t>
  </si>
  <si>
    <t>F5H3X9</t>
  </si>
  <si>
    <t>F5H442</t>
  </si>
  <si>
    <t>F5H4L7</t>
  </si>
  <si>
    <t>F5H555</t>
  </si>
  <si>
    <t>F5H5E8</t>
  </si>
  <si>
    <t>F5H5Q2</t>
  </si>
  <si>
    <t>F5H5S4</t>
  </si>
  <si>
    <t>F5H5Y2</t>
  </si>
  <si>
    <t>F5H6E2</t>
  </si>
  <si>
    <t>F5H6I0</t>
  </si>
  <si>
    <t>F5H6V7</t>
  </si>
  <si>
    <t>F5H7G2</t>
  </si>
  <si>
    <t>F5H7N9</t>
  </si>
  <si>
    <t>F5H7R9</t>
  </si>
  <si>
    <t>F5H7S3</t>
  </si>
  <si>
    <t>F5H7S7</t>
  </si>
  <si>
    <t>F5H7V1</t>
  </si>
  <si>
    <t>F5H827</t>
  </si>
  <si>
    <t>F5H877</t>
  </si>
  <si>
    <t>F6SKP1</t>
  </si>
  <si>
    <t>F6U1T9</t>
  </si>
  <si>
    <t>F6UPZ7</t>
  </si>
  <si>
    <t>F6UXX1</t>
  </si>
  <si>
    <t>F8VPE8</t>
  </si>
  <si>
    <t>F8VQX6</t>
  </si>
  <si>
    <t>F8VR82</t>
  </si>
  <si>
    <t>F8VRJ2</t>
  </si>
  <si>
    <t>F8VRR3</t>
  </si>
  <si>
    <t>F8VRX1</t>
  </si>
  <si>
    <t>F8VSA6</t>
  </si>
  <si>
    <t>F8VSH3</t>
  </si>
  <si>
    <t>F8VU90</t>
  </si>
  <si>
    <t>F8VUJ3</t>
  </si>
  <si>
    <t>F8VV13</t>
  </si>
  <si>
    <t>F8VVL1</t>
  </si>
  <si>
    <t>F8VWH5</t>
  </si>
  <si>
    <t>F8VWT8</t>
  </si>
  <si>
    <t>F8VXU5</t>
  </si>
  <si>
    <t>F8VYK9</t>
  </si>
  <si>
    <t>F8VYZ3</t>
  </si>
  <si>
    <t>F8VZJ2</t>
  </si>
  <si>
    <t>F8VZY9</t>
  </si>
  <si>
    <t>F8W181</t>
  </si>
  <si>
    <t>F8W1Q3</t>
  </si>
  <si>
    <t>F8W1R7</t>
  </si>
  <si>
    <t>F8W785</t>
  </si>
  <si>
    <t>F8W7D6</t>
  </si>
  <si>
    <t>F8W7M9</t>
  </si>
  <si>
    <t>F8W8D8</t>
  </si>
  <si>
    <t>F8W8S0</t>
  </si>
  <si>
    <t>F8W8T8</t>
  </si>
  <si>
    <t>F8W914</t>
  </si>
  <si>
    <t>F8W9L1</t>
  </si>
  <si>
    <t>F8W9Y0</t>
  </si>
  <si>
    <t>F8WB82</t>
  </si>
  <si>
    <t>F8WC54</t>
  </si>
  <si>
    <t>F8WCF6</t>
  </si>
  <si>
    <t>F8WCQ2</t>
  </si>
  <si>
    <t>F8WDS9</t>
  </si>
  <si>
    <t>F8WEF7</t>
  </si>
  <si>
    <t>F8WF57</t>
  </si>
  <si>
    <t>F8WF69</t>
  </si>
  <si>
    <t>F8WFB9</t>
  </si>
  <si>
    <t>G3V0E5</t>
  </si>
  <si>
    <t>G3V0F0</t>
  </si>
  <si>
    <t>G3V113</t>
  </si>
  <si>
    <t>G3V1A4</t>
  </si>
  <si>
    <t>G3V1C5</t>
  </si>
  <si>
    <t>G3V1D3</t>
  </si>
  <si>
    <t>G3V1J9</t>
  </si>
  <si>
    <t>G3V1K0</t>
  </si>
  <si>
    <t>G3V203</t>
  </si>
  <si>
    <t>G3V213</t>
  </si>
  <si>
    <t>G3V2F7</t>
  </si>
  <si>
    <t>G3V2G6</t>
  </si>
  <si>
    <t>G3V2W1</t>
  </si>
  <si>
    <t>G3V2W9</t>
  </si>
  <si>
    <t>G3V3E1</t>
  </si>
  <si>
    <t>G3V3Z5</t>
  </si>
  <si>
    <t>G3V4U0</t>
  </si>
  <si>
    <t>G3V511</t>
  </si>
  <si>
    <t>G3V578</t>
  </si>
  <si>
    <t>G3V5E4</t>
  </si>
  <si>
    <t>G3V5I3</t>
  </si>
  <si>
    <t>G3V5Z7</t>
  </si>
  <si>
    <t>G3XAB3</t>
  </si>
  <si>
    <t>G3XAE6</t>
  </si>
  <si>
    <t>G3XAI2</t>
  </si>
  <si>
    <t>G3XAK1</t>
  </si>
  <si>
    <t>G3XAM2</t>
  </si>
  <si>
    <t>G5E9F8</t>
  </si>
  <si>
    <t>G5E9W8</t>
  </si>
  <si>
    <t>G5EA09</t>
  </si>
  <si>
    <t>G5EA52</t>
  </si>
  <si>
    <t>G8JL88</t>
  </si>
  <si>
    <t>G8JLA8</t>
  </si>
  <si>
    <t>G8JLC6</t>
  </si>
  <si>
    <t>H0Y3D0</t>
  </si>
  <si>
    <t>H0Y3V5</t>
  </si>
  <si>
    <t>H0Y449</t>
  </si>
  <si>
    <t>H0Y4H3</t>
  </si>
  <si>
    <t>H0Y4T6</t>
  </si>
  <si>
    <t>H0Y4U3</t>
  </si>
  <si>
    <t>H0Y555</t>
  </si>
  <si>
    <t>H0Y5A1</t>
  </si>
  <si>
    <t>H0Y614</t>
  </si>
  <si>
    <t>H0Y6T4</t>
  </si>
  <si>
    <t>H0Y6W5</t>
  </si>
  <si>
    <t>H0Y750</t>
  </si>
  <si>
    <t>H0Y7F0</t>
  </si>
  <si>
    <t>H0Y7S3</t>
  </si>
  <si>
    <t>H0Y8K1</t>
  </si>
  <si>
    <t>H0Y8X4</t>
  </si>
  <si>
    <t>H0YA52</t>
  </si>
  <si>
    <t>H0YAC1</t>
  </si>
  <si>
    <t>H0YAK8</t>
  </si>
  <si>
    <t>H0YAR1</t>
  </si>
  <si>
    <t>H0YB13</t>
  </si>
  <si>
    <t>H0YBZ2</t>
  </si>
  <si>
    <t>H0YCX6</t>
  </si>
  <si>
    <t>H0YD13</t>
  </si>
  <si>
    <t>H0YDT6</t>
  </si>
  <si>
    <t>H0YEN5</t>
  </si>
  <si>
    <t>H0YEP5</t>
  </si>
  <si>
    <t>H0YFA4</t>
  </si>
  <si>
    <t>H0YFC6</t>
  </si>
  <si>
    <t>H0YFS9</t>
  </si>
  <si>
    <t>H0YGL6</t>
  </si>
  <si>
    <t>H0YGV7</t>
  </si>
  <si>
    <t>H0YII4</t>
  </si>
  <si>
    <t>H0YJ34</t>
  </si>
  <si>
    <t>H0YJG7</t>
  </si>
  <si>
    <t>H0YJS4</t>
  </si>
  <si>
    <t>H0YJV2</t>
  </si>
  <si>
    <t>H0YJV3</t>
  </si>
  <si>
    <t>H0YK42</t>
  </si>
  <si>
    <t>H0YKU1</t>
  </si>
  <si>
    <t>H0YKY0</t>
  </si>
  <si>
    <t>H0YLA2</t>
  </si>
  <si>
    <t>H0YLC8</t>
  </si>
  <si>
    <t>H0YLY7</t>
  </si>
  <si>
    <t>H0YM03</t>
  </si>
  <si>
    <t>H0YM70</t>
  </si>
  <si>
    <t>H0YMB1</t>
  </si>
  <si>
    <t>H0YMB3</t>
  </si>
  <si>
    <t>H0YMM1</t>
  </si>
  <si>
    <t>H0YN18</t>
  </si>
  <si>
    <t>H0YN26</t>
  </si>
  <si>
    <t>H0YN29</t>
  </si>
  <si>
    <t>H0YN73</t>
  </si>
  <si>
    <t>H0YNE3</t>
  </si>
  <si>
    <t>H0YNE9</t>
  </si>
  <si>
    <t>H3BLT5</t>
  </si>
  <si>
    <t>H3BLU7</t>
  </si>
  <si>
    <t>H3BMB5</t>
  </si>
  <si>
    <t>H3BMF2</t>
  </si>
  <si>
    <t>H3BMQ1</t>
  </si>
  <si>
    <t>H3BMT0</t>
  </si>
  <si>
    <t>H3BNC6</t>
  </si>
  <si>
    <t>H3BPG7</t>
  </si>
  <si>
    <t>H3BPK3</t>
  </si>
  <si>
    <t>H3BQ06</t>
  </si>
  <si>
    <t>H3BQ52</t>
  </si>
  <si>
    <t>H3BQ94</t>
  </si>
  <si>
    <t>H3BQB1</t>
  </si>
  <si>
    <t>H3BRV0</t>
  </si>
  <si>
    <t>H3BS10</t>
  </si>
  <si>
    <t>H3BSW0</t>
  </si>
  <si>
    <t>H3BTH8</t>
  </si>
  <si>
    <t>H3BTZ5</t>
  </si>
  <si>
    <t>H3BUA3</t>
  </si>
  <si>
    <t>H3BV04</t>
  </si>
  <si>
    <t>H3BV55</t>
  </si>
  <si>
    <t>H3BVC7</t>
  </si>
  <si>
    <t>H7BXG7</t>
  </si>
  <si>
    <t>H7BXR3</t>
  </si>
  <si>
    <t>H7BY10</t>
  </si>
  <si>
    <t>H7BY58</t>
  </si>
  <si>
    <t>H7BZJ3</t>
  </si>
  <si>
    <t>H7BZT4</t>
  </si>
  <si>
    <t>H7BZT7</t>
  </si>
  <si>
    <t>H7BZY9</t>
  </si>
  <si>
    <t>H7C089</t>
  </si>
  <si>
    <t>H7C123</t>
  </si>
  <si>
    <t>H7C131</t>
  </si>
  <si>
    <t>H7C1T7</t>
  </si>
  <si>
    <t>H7C1U0</t>
  </si>
  <si>
    <t>H7C284</t>
  </si>
  <si>
    <t>H7C2I8</t>
  </si>
  <si>
    <t>H7C2S8</t>
  </si>
  <si>
    <t>H7C3L5</t>
  </si>
  <si>
    <t>H7C3P4</t>
  </si>
  <si>
    <t>H7C3P7</t>
  </si>
  <si>
    <t>H7C472</t>
  </si>
  <si>
    <t>H7C570</t>
  </si>
  <si>
    <t>H9KV70</t>
  </si>
  <si>
    <t>I3L0H8</t>
  </si>
  <si>
    <t>I3L0N3</t>
  </si>
  <si>
    <t>I3L1J1</t>
  </si>
  <si>
    <t>I3L1J2</t>
  </si>
  <si>
    <t>I3L1P5</t>
  </si>
  <si>
    <t>I3L1Q1</t>
  </si>
  <si>
    <t>I3L2G3</t>
  </si>
  <si>
    <t>I3L397</t>
  </si>
  <si>
    <t>I3L459</t>
  </si>
  <si>
    <t>I3L4C2</t>
  </si>
  <si>
    <t>I6L8B7</t>
  </si>
  <si>
    <t>J3KMX5</t>
  </si>
  <si>
    <t>J3KMY5</t>
  </si>
  <si>
    <t>J3KMZ9</t>
  </si>
  <si>
    <t>J3KN08</t>
  </si>
  <si>
    <t>J3KN16</t>
  </si>
  <si>
    <t>J3KN36</t>
  </si>
  <si>
    <t>J3KNP4</t>
  </si>
  <si>
    <t>J3KNT0</t>
  </si>
  <si>
    <t>J3KPI3</t>
  </si>
  <si>
    <t>J3KPL1</t>
  </si>
  <si>
    <t>J3KPS3</t>
  </si>
  <si>
    <t>J3KQ32</t>
  </si>
  <si>
    <t>J3KQ45</t>
  </si>
  <si>
    <t>J3KQ99</t>
  </si>
  <si>
    <t>J3KR88</t>
  </si>
  <si>
    <t>J3KRP0</t>
  </si>
  <si>
    <t>J3KSH8</t>
  </si>
  <si>
    <t>J3KSJ8</t>
  </si>
  <si>
    <t>J3KT79</t>
  </si>
  <si>
    <t>J3KTF8</t>
  </si>
  <si>
    <t>J3KTI2</t>
  </si>
  <si>
    <t>J3KTJ1</t>
  </si>
  <si>
    <t>J3QK90</t>
  </si>
  <si>
    <t>J3QKL6</t>
  </si>
  <si>
    <t>J3QKW8</t>
  </si>
  <si>
    <t>J3QL81</t>
  </si>
  <si>
    <t>J3QLM9</t>
  </si>
  <si>
    <t>J3QQT2</t>
  </si>
  <si>
    <t>J3QS03</t>
  </si>
  <si>
    <t>J3QS45</t>
  </si>
  <si>
    <t>J3QSB4</t>
  </si>
  <si>
    <t>J3QSE5</t>
  </si>
  <si>
    <t>J9JIE0</t>
  </si>
  <si>
    <t>K7EIJ0</t>
  </si>
  <si>
    <t>K7EIJ6</t>
  </si>
  <si>
    <t>K7EJR3</t>
  </si>
  <si>
    <t>K7EJT5</t>
  </si>
  <si>
    <t>K7EK35</t>
  </si>
  <si>
    <t>K7EK45</t>
  </si>
  <si>
    <t>K7EKV4</t>
  </si>
  <si>
    <t>K7EL62</t>
  </si>
  <si>
    <t>K7EL68</t>
  </si>
  <si>
    <t>K7EL76</t>
  </si>
  <si>
    <t>K7ELL7</t>
  </si>
  <si>
    <t>K7EM02</t>
  </si>
  <si>
    <t>K7EM18</t>
  </si>
  <si>
    <t>K7EMD6</t>
  </si>
  <si>
    <t>K7EMS3</t>
  </si>
  <si>
    <t>K7EMV3</t>
  </si>
  <si>
    <t>K7ENS2</t>
  </si>
  <si>
    <t>K7EP80</t>
  </si>
  <si>
    <t>K7EQA1</t>
  </si>
  <si>
    <t>K7EQZ3</t>
  </si>
  <si>
    <t>K7ERG9</t>
  </si>
  <si>
    <t>K7ERI9</t>
  </si>
  <si>
    <t>K7ERP4</t>
  </si>
  <si>
    <t>K7ES02</t>
  </si>
  <si>
    <t>K7ES31</t>
  </si>
  <si>
    <t>K7ESE3</t>
  </si>
  <si>
    <t>K7ESI9</t>
  </si>
  <si>
    <t>M0QX57</t>
  </si>
  <si>
    <t>M0QXF7</t>
  </si>
  <si>
    <t>M0QY29</t>
  </si>
  <si>
    <t>M0QYE0</t>
  </si>
  <si>
    <t>M0QYG8</t>
  </si>
  <si>
    <t>M0QYS1</t>
  </si>
  <si>
    <t>M0QZ21</t>
  </si>
  <si>
    <t>M0QZN2</t>
  </si>
  <si>
    <t>M0R081</t>
  </si>
  <si>
    <t>M0R0Y2</t>
  </si>
  <si>
    <t>M0R1E0</t>
  </si>
  <si>
    <t>M0R1L7</t>
  </si>
  <si>
    <t>M0R2K4</t>
  </si>
  <si>
    <t>M0R2L9</t>
  </si>
  <si>
    <t>M0R2Y5</t>
  </si>
  <si>
    <t>M0R3C9</t>
  </si>
  <si>
    <t>M0R3D6</t>
  </si>
  <si>
    <t>O00161</t>
  </si>
  <si>
    <t>O00206-2</t>
  </si>
  <si>
    <t>O00231</t>
  </si>
  <si>
    <t>O00232-2</t>
  </si>
  <si>
    <t>O00264</t>
  </si>
  <si>
    <t>O00273-2</t>
  </si>
  <si>
    <t>O00292-2</t>
  </si>
  <si>
    <t>O00299</t>
  </si>
  <si>
    <t>O00300</t>
  </si>
  <si>
    <t>O00391</t>
  </si>
  <si>
    <t>O00410</t>
  </si>
  <si>
    <t>O00462</t>
  </si>
  <si>
    <t>O00468-2</t>
  </si>
  <si>
    <t>O00499-9</t>
  </si>
  <si>
    <t>O00560</t>
  </si>
  <si>
    <t>O00622</t>
  </si>
  <si>
    <t>O00625</t>
  </si>
  <si>
    <t>O00754</t>
  </si>
  <si>
    <t>O00757</t>
  </si>
  <si>
    <t>O00764</t>
  </si>
  <si>
    <t>O14498</t>
  </si>
  <si>
    <t>O14657</t>
  </si>
  <si>
    <t>O14672</t>
  </si>
  <si>
    <t>O14745</t>
  </si>
  <si>
    <t>O14773</t>
  </si>
  <si>
    <t>O14807</t>
  </si>
  <si>
    <t>O14818</t>
  </si>
  <si>
    <t>O14841</t>
  </si>
  <si>
    <t>O15031</t>
  </si>
  <si>
    <t>O15072</t>
  </si>
  <si>
    <t>O15143</t>
  </si>
  <si>
    <t>O15144</t>
  </si>
  <si>
    <t>O15145</t>
  </si>
  <si>
    <t>O15204-2</t>
  </si>
  <si>
    <t>O15212</t>
  </si>
  <si>
    <t>O15230</t>
  </si>
  <si>
    <t>O15232</t>
  </si>
  <si>
    <t>O15400-2</t>
  </si>
  <si>
    <t>O15511</t>
  </si>
  <si>
    <t>O15540</t>
  </si>
  <si>
    <t>O43155</t>
  </si>
  <si>
    <t>O43175</t>
  </si>
  <si>
    <t>O43242</t>
  </si>
  <si>
    <t>O43286</t>
  </si>
  <si>
    <t>O43291</t>
  </si>
  <si>
    <t>O43399-2</t>
  </si>
  <si>
    <t>O43490-5</t>
  </si>
  <si>
    <t>O43505</t>
  </si>
  <si>
    <t>O43508-2</t>
  </si>
  <si>
    <t>O43657</t>
  </si>
  <si>
    <t>O43681</t>
  </si>
  <si>
    <t>O43707</t>
  </si>
  <si>
    <t>O43708-3</t>
  </si>
  <si>
    <t>O43776</t>
  </si>
  <si>
    <t>O43852-2</t>
  </si>
  <si>
    <t>O43866</t>
  </si>
  <si>
    <t>O60259</t>
  </si>
  <si>
    <t>O60262</t>
  </si>
  <si>
    <t>O60271-5</t>
  </si>
  <si>
    <t>O60343-2</t>
  </si>
  <si>
    <t>O60476</t>
  </si>
  <si>
    <t>O60488-2</t>
  </si>
  <si>
    <t>O60543</t>
  </si>
  <si>
    <t>O60547-2</t>
  </si>
  <si>
    <t>O60603</t>
  </si>
  <si>
    <t>O60613</t>
  </si>
  <si>
    <t>O60664-4</t>
  </si>
  <si>
    <t>O60763</t>
  </si>
  <si>
    <t>O60869-2</t>
  </si>
  <si>
    <t>O75054</t>
  </si>
  <si>
    <t>O75071</t>
  </si>
  <si>
    <t>O75083</t>
  </si>
  <si>
    <t>O75223</t>
  </si>
  <si>
    <t>O75339</t>
  </si>
  <si>
    <t>O75348</t>
  </si>
  <si>
    <t>O75351</t>
  </si>
  <si>
    <t>O75355</t>
  </si>
  <si>
    <t>O75368</t>
  </si>
  <si>
    <t>O75369-2</t>
  </si>
  <si>
    <t>O75396</t>
  </si>
  <si>
    <t>O75493</t>
  </si>
  <si>
    <t>O75503</t>
  </si>
  <si>
    <t>O75629</t>
  </si>
  <si>
    <t>O75695</t>
  </si>
  <si>
    <t>O75818-2</t>
  </si>
  <si>
    <t>O75874</t>
  </si>
  <si>
    <t>O75882-3</t>
  </si>
  <si>
    <t>O75884</t>
  </si>
  <si>
    <t>O75891</t>
  </si>
  <si>
    <t>O75976</t>
  </si>
  <si>
    <t>O76003</t>
  </si>
  <si>
    <t>O76094-2</t>
  </si>
  <si>
    <t>O94760</t>
  </si>
  <si>
    <t>O94874-2</t>
  </si>
  <si>
    <t>O94903</t>
  </si>
  <si>
    <t>O94985-2</t>
  </si>
  <si>
    <t>O95197-3</t>
  </si>
  <si>
    <t>O95274</t>
  </si>
  <si>
    <t>O95292</t>
  </si>
  <si>
    <t>O95336</t>
  </si>
  <si>
    <t>O95394</t>
  </si>
  <si>
    <t>O95436</t>
  </si>
  <si>
    <t>O95436-2</t>
  </si>
  <si>
    <t>O95573</t>
  </si>
  <si>
    <t>O95716</t>
  </si>
  <si>
    <t>O95721</t>
  </si>
  <si>
    <t>O95747</t>
  </si>
  <si>
    <t>O95793-3</t>
  </si>
  <si>
    <t>O95834-2</t>
  </si>
  <si>
    <t>O95865</t>
  </si>
  <si>
    <t>O95881</t>
  </si>
  <si>
    <t>O95965</t>
  </si>
  <si>
    <t>O95969</t>
  </si>
  <si>
    <t>O95980</t>
  </si>
  <si>
    <t>O96007</t>
  </si>
  <si>
    <t>P00167-2</t>
  </si>
  <si>
    <t>P00338</t>
  </si>
  <si>
    <t>P00352</t>
  </si>
  <si>
    <t>P00387-3</t>
  </si>
  <si>
    <t>P00441</t>
  </si>
  <si>
    <t>P00450</t>
  </si>
  <si>
    <t>P00491</t>
  </si>
  <si>
    <t>P00492</t>
  </si>
  <si>
    <t>P00558</t>
  </si>
  <si>
    <t>P00709</t>
  </si>
  <si>
    <t>P00734</t>
  </si>
  <si>
    <t>P00736</t>
  </si>
  <si>
    <t>P00738</t>
  </si>
  <si>
    <t>P00739</t>
  </si>
  <si>
    <t>P00740</t>
  </si>
  <si>
    <t>P00747</t>
  </si>
  <si>
    <t>P00748</t>
  </si>
  <si>
    <t>P00918</t>
  </si>
  <si>
    <t>P00966</t>
  </si>
  <si>
    <t>P01008</t>
  </si>
  <si>
    <t>P01009</t>
  </si>
  <si>
    <t>P01019</t>
  </si>
  <si>
    <t>P01023</t>
  </si>
  <si>
    <t>P01024</t>
  </si>
  <si>
    <t>P01031</t>
  </si>
  <si>
    <t>P01034</t>
  </si>
  <si>
    <t>P01036</t>
  </si>
  <si>
    <t>P01042</t>
  </si>
  <si>
    <t>P01042-2</t>
  </si>
  <si>
    <t>P01112</t>
  </si>
  <si>
    <t>P01116-2</t>
  </si>
  <si>
    <t>P01133-3</t>
  </si>
  <si>
    <t>P01236</t>
  </si>
  <si>
    <t>P01591</t>
  </si>
  <si>
    <t>P01593</t>
  </si>
  <si>
    <t>P01594</t>
  </si>
  <si>
    <t>P01596</t>
  </si>
  <si>
    <t>P01598</t>
  </si>
  <si>
    <t>P01601</t>
  </si>
  <si>
    <t>P01603</t>
  </si>
  <si>
    <t>P01604</t>
  </si>
  <si>
    <t>P01605</t>
  </si>
  <si>
    <t>P01608</t>
  </si>
  <si>
    <t>P01609</t>
  </si>
  <si>
    <t>P01610</t>
  </si>
  <si>
    <t>P01611</t>
  </si>
  <si>
    <t>P01612</t>
  </si>
  <si>
    <t>P01613</t>
  </si>
  <si>
    <t>P01617</t>
  </si>
  <si>
    <t>P01619</t>
  </si>
  <si>
    <t>P01620</t>
  </si>
  <si>
    <t>P01621</t>
  </si>
  <si>
    <t>P01623</t>
  </si>
  <si>
    <t>P01624</t>
  </si>
  <si>
    <t>P01625</t>
  </si>
  <si>
    <t>P01699</t>
  </si>
  <si>
    <t>P01700</t>
  </si>
  <si>
    <t>P01701</t>
  </si>
  <si>
    <t>P01702</t>
  </si>
  <si>
    <t>P01703</t>
  </si>
  <si>
    <t>P01714</t>
  </si>
  <si>
    <t>P01717</t>
  </si>
  <si>
    <t>P01742</t>
  </si>
  <si>
    <t>P01743</t>
  </si>
  <si>
    <t>P01764</t>
  </si>
  <si>
    <t>P01765</t>
  </si>
  <si>
    <t>P01766</t>
  </si>
  <si>
    <t>P01767</t>
  </si>
  <si>
    <t>P01771</t>
  </si>
  <si>
    <t>P01772</t>
  </si>
  <si>
    <t>P01778</t>
  </si>
  <si>
    <t>P01779</t>
  </si>
  <si>
    <t>P01780</t>
  </si>
  <si>
    <t>P01781</t>
  </si>
  <si>
    <t>P01824</t>
  </si>
  <si>
    <t>P01833</t>
  </si>
  <si>
    <t>P01834</t>
  </si>
  <si>
    <t>P01857</t>
  </si>
  <si>
    <t>P01859</t>
  </si>
  <si>
    <t>P01860</t>
  </si>
  <si>
    <t>P01861</t>
  </si>
  <si>
    <t>P01871</t>
  </si>
  <si>
    <t>P01876</t>
  </si>
  <si>
    <t>P01877</t>
  </si>
  <si>
    <t>P01889</t>
  </si>
  <si>
    <t>P01903</t>
  </si>
  <si>
    <t>P02462-2</t>
  </si>
  <si>
    <t>P02545-2</t>
  </si>
  <si>
    <t>P02647</t>
  </si>
  <si>
    <t>P02649</t>
  </si>
  <si>
    <t>P02652</t>
  </si>
  <si>
    <t>P02671-2</t>
  </si>
  <si>
    <t>P02675</t>
  </si>
  <si>
    <t>P02743</t>
  </si>
  <si>
    <t>P02748</t>
  </si>
  <si>
    <t>P02749</t>
  </si>
  <si>
    <t>P02750</t>
  </si>
  <si>
    <t>P02751-5</t>
  </si>
  <si>
    <t>P02760</t>
  </si>
  <si>
    <t>P02763</t>
  </si>
  <si>
    <t>P02765</t>
  </si>
  <si>
    <t>P02766</t>
  </si>
  <si>
    <t>P02774</t>
  </si>
  <si>
    <t>P02778</t>
  </si>
  <si>
    <t>P02787</t>
  </si>
  <si>
    <t>P02788</t>
  </si>
  <si>
    <t>P02790</t>
  </si>
  <si>
    <t>P02792</t>
  </si>
  <si>
    <t>P02794</t>
  </si>
  <si>
    <t>P02810</t>
  </si>
  <si>
    <t>P02814</t>
  </si>
  <si>
    <t>P03950</t>
  </si>
  <si>
    <t>P04003</t>
  </si>
  <si>
    <t>P04004</t>
  </si>
  <si>
    <t>P04040</t>
  </si>
  <si>
    <t>P04066</t>
  </si>
  <si>
    <t>P04080</t>
  </si>
  <si>
    <t>P04114</t>
  </si>
  <si>
    <t>P04196</t>
  </si>
  <si>
    <t>P04207</t>
  </si>
  <si>
    <t>P04208</t>
  </si>
  <si>
    <t>P04209</t>
  </si>
  <si>
    <t>P04211</t>
  </si>
  <si>
    <t>P04217</t>
  </si>
  <si>
    <t>P04271</t>
  </si>
  <si>
    <t>P04279-2</t>
  </si>
  <si>
    <t>P04406</t>
  </si>
  <si>
    <t>P04424-3</t>
  </si>
  <si>
    <t>P04430</t>
  </si>
  <si>
    <t>P04433</t>
  </si>
  <si>
    <t>P04438</t>
  </si>
  <si>
    <t>P04745</t>
  </si>
  <si>
    <t>P04792</t>
  </si>
  <si>
    <t>P05067-7</t>
  </si>
  <si>
    <t>P05109</t>
  </si>
  <si>
    <t>P05154</t>
  </si>
  <si>
    <t>P05160</t>
  </si>
  <si>
    <t>P05164-2</t>
  </si>
  <si>
    <t>P05186-2</t>
  </si>
  <si>
    <t>P05362</t>
  </si>
  <si>
    <t>P05387</t>
  </si>
  <si>
    <t>P05413</t>
  </si>
  <si>
    <t>P05543</t>
  </si>
  <si>
    <t>P05546</t>
  </si>
  <si>
    <t>P05814</t>
  </si>
  <si>
    <t>P06310</t>
  </si>
  <si>
    <t>P06311</t>
  </si>
  <si>
    <t>P06312</t>
  </si>
  <si>
    <t>P06318</t>
  </si>
  <si>
    <t>P06331</t>
  </si>
  <si>
    <t>P06396-2</t>
  </si>
  <si>
    <t>P06681</t>
  </si>
  <si>
    <t>P06702</t>
  </si>
  <si>
    <t>P06727</t>
  </si>
  <si>
    <t>P06733</t>
  </si>
  <si>
    <t>P06744</t>
  </si>
  <si>
    <t>P06858</t>
  </si>
  <si>
    <t>P07093-2</t>
  </si>
  <si>
    <t>P07108</t>
  </si>
  <si>
    <t>P07195</t>
  </si>
  <si>
    <t>P07203</t>
  </si>
  <si>
    <t>P07237</t>
  </si>
  <si>
    <t>P07339</t>
  </si>
  <si>
    <t>P07357</t>
  </si>
  <si>
    <t>P07358</t>
  </si>
  <si>
    <t>P07360</t>
  </si>
  <si>
    <t>P07384</t>
  </si>
  <si>
    <t>P07498</t>
  </si>
  <si>
    <t>P07686</t>
  </si>
  <si>
    <t>P07737</t>
  </si>
  <si>
    <t>P07814</t>
  </si>
  <si>
    <t>P07858</t>
  </si>
  <si>
    <t>P07900</t>
  </si>
  <si>
    <t>P07902</t>
  </si>
  <si>
    <t>P07948-2</t>
  </si>
  <si>
    <t>P07954-2</t>
  </si>
  <si>
    <t>P07998</t>
  </si>
  <si>
    <t>P08107</t>
  </si>
  <si>
    <t>P08123</t>
  </si>
  <si>
    <t>P08185</t>
  </si>
  <si>
    <t>P08238</t>
  </si>
  <si>
    <t>P08253-2</t>
  </si>
  <si>
    <t>P08294</t>
  </si>
  <si>
    <t>P08311</t>
  </si>
  <si>
    <t>P08493</t>
  </si>
  <si>
    <t>P08571</t>
  </si>
  <si>
    <t>P08572</t>
  </si>
  <si>
    <t>P08582-2</t>
  </si>
  <si>
    <t>P08603</t>
  </si>
  <si>
    <t>P08697</t>
  </si>
  <si>
    <t>P08754</t>
  </si>
  <si>
    <t>P09237</t>
  </si>
  <si>
    <t>P09341</t>
  </si>
  <si>
    <t>P09382</t>
  </si>
  <si>
    <t>P09467</t>
  </si>
  <si>
    <t>P09493-4</t>
  </si>
  <si>
    <t>P09543-2</t>
  </si>
  <si>
    <t>P09603</t>
  </si>
  <si>
    <t>P09668</t>
  </si>
  <si>
    <t>P09758</t>
  </si>
  <si>
    <t>P09871</t>
  </si>
  <si>
    <t>P09960</t>
  </si>
  <si>
    <t>P0C091</t>
  </si>
  <si>
    <t>P0C0L4</t>
  </si>
  <si>
    <t>P0C0L5</t>
  </si>
  <si>
    <t>P0CG05</t>
  </si>
  <si>
    <t>P0DJI8</t>
  </si>
  <si>
    <t>P0DJI9</t>
  </si>
  <si>
    <t>P10253</t>
  </si>
  <si>
    <t>P10301</t>
  </si>
  <si>
    <t>P10451-2</t>
  </si>
  <si>
    <t>P10451-4</t>
  </si>
  <si>
    <t>P10451-5</t>
  </si>
  <si>
    <t>P10586-2</t>
  </si>
  <si>
    <t>P10599</t>
  </si>
  <si>
    <t>P10619</t>
  </si>
  <si>
    <t>P10643</t>
  </si>
  <si>
    <t>P10644</t>
  </si>
  <si>
    <t>P10721-3</t>
  </si>
  <si>
    <t>P10809</t>
  </si>
  <si>
    <t>P10909-4</t>
  </si>
  <si>
    <t>P11021</t>
  </si>
  <si>
    <t>P11047</t>
  </si>
  <si>
    <t>P11142</t>
  </si>
  <si>
    <t>P11172-2</t>
  </si>
  <si>
    <t>P11216</t>
  </si>
  <si>
    <t>P11279</t>
  </si>
  <si>
    <t>P11413</t>
  </si>
  <si>
    <t>P11678</t>
  </si>
  <si>
    <t>P11717</t>
  </si>
  <si>
    <t>P11766</t>
  </si>
  <si>
    <t>P11908</t>
  </si>
  <si>
    <t>P11940-2</t>
  </si>
  <si>
    <t>P12109</t>
  </si>
  <si>
    <t>P12259</t>
  </si>
  <si>
    <t>P12273</t>
  </si>
  <si>
    <t>P12814-2</t>
  </si>
  <si>
    <t>P12821</t>
  </si>
  <si>
    <t>P13284</t>
  </si>
  <si>
    <t>P13489</t>
  </si>
  <si>
    <t>P13497-4</t>
  </si>
  <si>
    <t>P13639</t>
  </si>
  <si>
    <t>P13667</t>
  </si>
  <si>
    <t>P13671</t>
  </si>
  <si>
    <t>P13726-2</t>
  </si>
  <si>
    <t>P13760</t>
  </si>
  <si>
    <t>P13762</t>
  </si>
  <si>
    <t>P13796</t>
  </si>
  <si>
    <t>P13866</t>
  </si>
  <si>
    <t>P14174</t>
  </si>
  <si>
    <t>P14324-2</t>
  </si>
  <si>
    <t>P14543-2</t>
  </si>
  <si>
    <t>P14550</t>
  </si>
  <si>
    <t>P14618</t>
  </si>
  <si>
    <t>P14621</t>
  </si>
  <si>
    <t>P14625</t>
  </si>
  <si>
    <t>P14735</t>
  </si>
  <si>
    <t>P14923</t>
  </si>
  <si>
    <t>P15086</t>
  </si>
  <si>
    <t>P15090</t>
  </si>
  <si>
    <t>P15104</t>
  </si>
  <si>
    <t>P15144</t>
  </si>
  <si>
    <t>P15151-3</t>
  </si>
  <si>
    <t>P15169</t>
  </si>
  <si>
    <t>P15170-2</t>
  </si>
  <si>
    <t>P15289</t>
  </si>
  <si>
    <t>P15291-2</t>
  </si>
  <si>
    <t>P15311</t>
  </si>
  <si>
    <t>P15328</t>
  </si>
  <si>
    <t>P15374</t>
  </si>
  <si>
    <t>P15509-3</t>
  </si>
  <si>
    <t>P15529-16</t>
  </si>
  <si>
    <t>P15814</t>
  </si>
  <si>
    <t>P15924-2</t>
  </si>
  <si>
    <t>P15941-13</t>
  </si>
  <si>
    <t>P16035</t>
  </si>
  <si>
    <t>P16152</t>
  </si>
  <si>
    <t>P16278-3</t>
  </si>
  <si>
    <t>P16284-3</t>
  </si>
  <si>
    <t>P16401</t>
  </si>
  <si>
    <t>P16403</t>
  </si>
  <si>
    <t>P16444</t>
  </si>
  <si>
    <t>P16989-2</t>
  </si>
  <si>
    <t>P17050</t>
  </si>
  <si>
    <t>P17066</t>
  </si>
  <si>
    <t>P17174</t>
  </si>
  <si>
    <t>P17655</t>
  </si>
  <si>
    <t>P17813-2</t>
  </si>
  <si>
    <t>P17858</t>
  </si>
  <si>
    <t>P17900</t>
  </si>
  <si>
    <t>P17931</t>
  </si>
  <si>
    <t>P17936</t>
  </si>
  <si>
    <t>P17987</t>
  </si>
  <si>
    <t>P18065</t>
  </si>
  <si>
    <t>P18085</t>
  </si>
  <si>
    <t>P18135</t>
  </si>
  <si>
    <t>P18206-2</t>
  </si>
  <si>
    <t>P18428</t>
  </si>
  <si>
    <t>P18510</t>
  </si>
  <si>
    <t>P18669</t>
  </si>
  <si>
    <t>P18827</t>
  </si>
  <si>
    <t>P18850</t>
  </si>
  <si>
    <t>P19021-2</t>
  </si>
  <si>
    <t>P19320</t>
  </si>
  <si>
    <t>P19440</t>
  </si>
  <si>
    <t>P19623</t>
  </si>
  <si>
    <t>P19652</t>
  </si>
  <si>
    <t>P19827</t>
  </si>
  <si>
    <t>P19835</t>
  </si>
  <si>
    <t>P19875</t>
  </si>
  <si>
    <t>P20039</t>
  </si>
  <si>
    <t>P20061</t>
  </si>
  <si>
    <t>P20336</t>
  </si>
  <si>
    <t>P20618</t>
  </si>
  <si>
    <t>P20742</t>
  </si>
  <si>
    <t>P20774</t>
  </si>
  <si>
    <t>P20827</t>
  </si>
  <si>
    <t>P20851-2</t>
  </si>
  <si>
    <t>P20933</t>
  </si>
  <si>
    <t>P21281</t>
  </si>
  <si>
    <t>P21399</t>
  </si>
  <si>
    <t>P21695-2</t>
  </si>
  <si>
    <t>P21964-2</t>
  </si>
  <si>
    <t>P22059</t>
  </si>
  <si>
    <t>P22079</t>
  </si>
  <si>
    <t>P22102</t>
  </si>
  <si>
    <t>P22223-2</t>
  </si>
  <si>
    <t>P22304</t>
  </si>
  <si>
    <t>P22307-4</t>
  </si>
  <si>
    <t>P22314</t>
  </si>
  <si>
    <t>P22352</t>
  </si>
  <si>
    <t>P22626-2</t>
  </si>
  <si>
    <t>P22674</t>
  </si>
  <si>
    <t>P22676</t>
  </si>
  <si>
    <t>P22792</t>
  </si>
  <si>
    <t>P22897</t>
  </si>
  <si>
    <t>P23083</t>
  </si>
  <si>
    <t>P23280</t>
  </si>
  <si>
    <t>P23280-2</t>
  </si>
  <si>
    <t>P23284</t>
  </si>
  <si>
    <t>P23297</t>
  </si>
  <si>
    <t>P23381</t>
  </si>
  <si>
    <t>P23396</t>
  </si>
  <si>
    <t>P23526</t>
  </si>
  <si>
    <t>P23786</t>
  </si>
  <si>
    <t>P24043</t>
  </si>
  <si>
    <t>P24158</t>
  </si>
  <si>
    <t>P24298</t>
  </si>
  <si>
    <t>P24534</t>
  </si>
  <si>
    <t>P24593</t>
  </si>
  <si>
    <t>P24821</t>
  </si>
  <si>
    <t>P25311</t>
  </si>
  <si>
    <t>P25325</t>
  </si>
  <si>
    <t>P25398</t>
  </si>
  <si>
    <t>P25445-6</t>
  </si>
  <si>
    <t>P25686</t>
  </si>
  <si>
    <t>P25774</t>
  </si>
  <si>
    <t>P25786</t>
  </si>
  <si>
    <t>P25787</t>
  </si>
  <si>
    <t>P25788-2</t>
  </si>
  <si>
    <t>P25815</t>
  </si>
  <si>
    <t>P25940</t>
  </si>
  <si>
    <t>P26038</t>
  </si>
  <si>
    <t>P26447</t>
  </si>
  <si>
    <t>P26572</t>
  </si>
  <si>
    <t>P26639</t>
  </si>
  <si>
    <t>P26641</t>
  </si>
  <si>
    <t>P26885</t>
  </si>
  <si>
    <t>P26992</t>
  </si>
  <si>
    <t>P27169</t>
  </si>
  <si>
    <t>P27348</t>
  </si>
  <si>
    <t>P27469</t>
  </si>
  <si>
    <t>P27482</t>
  </si>
  <si>
    <t>P27797</t>
  </si>
  <si>
    <t>P27824</t>
  </si>
  <si>
    <t>P28062-2</t>
  </si>
  <si>
    <t>P28066</t>
  </si>
  <si>
    <t>P28070</t>
  </si>
  <si>
    <t>P28072</t>
  </si>
  <si>
    <t>P28074</t>
  </si>
  <si>
    <t>P28799</t>
  </si>
  <si>
    <t>P28838-2</t>
  </si>
  <si>
    <t>P29218</t>
  </si>
  <si>
    <t>P29373</t>
  </si>
  <si>
    <t>P29401</t>
  </si>
  <si>
    <t>P29622</t>
  </si>
  <si>
    <t>P29762</t>
  </si>
  <si>
    <t>P29966</t>
  </si>
  <si>
    <t>P30040</t>
  </si>
  <si>
    <t>P30041</t>
  </si>
  <si>
    <t>P30043</t>
  </si>
  <si>
    <t>P30044</t>
  </si>
  <si>
    <t>P30050</t>
  </si>
  <si>
    <t>P30086</t>
  </si>
  <si>
    <t>P30419-2</t>
  </si>
  <si>
    <t>P30455</t>
  </si>
  <si>
    <t>P30520</t>
  </si>
  <si>
    <t>P30533</t>
  </si>
  <si>
    <t>P30740</t>
  </si>
  <si>
    <t>P31146</t>
  </si>
  <si>
    <t>P31150</t>
  </si>
  <si>
    <t>P31323</t>
  </si>
  <si>
    <t>P31431-2</t>
  </si>
  <si>
    <t>P31937</t>
  </si>
  <si>
    <t>P31944</t>
  </si>
  <si>
    <t>P31946-2</t>
  </si>
  <si>
    <t>P31947-2</t>
  </si>
  <si>
    <t>P31948</t>
  </si>
  <si>
    <t>P31949</t>
  </si>
  <si>
    <t>P32119</t>
  </si>
  <si>
    <t>P32455</t>
  </si>
  <si>
    <t>P32929-3</t>
  </si>
  <si>
    <t>P33121-2</t>
  </si>
  <si>
    <t>P33176</t>
  </si>
  <si>
    <t>P33908</t>
  </si>
  <si>
    <t>P34096</t>
  </si>
  <si>
    <t>P34896-2</t>
  </si>
  <si>
    <t>P34932</t>
  </si>
  <si>
    <t>P35237</t>
  </si>
  <si>
    <t>P35241</t>
  </si>
  <si>
    <t>P35270</t>
  </si>
  <si>
    <t>P35542</t>
  </si>
  <si>
    <t>P35579</t>
  </si>
  <si>
    <t>P35590</t>
  </si>
  <si>
    <t>P35613-3</t>
  </si>
  <si>
    <t>P35754</t>
  </si>
  <si>
    <t>P35813</t>
  </si>
  <si>
    <t>P35858</t>
  </si>
  <si>
    <t>P35998</t>
  </si>
  <si>
    <t>P36222</t>
  </si>
  <si>
    <t>P36578</t>
  </si>
  <si>
    <t>P36871</t>
  </si>
  <si>
    <t>P36955</t>
  </si>
  <si>
    <t>P36980-2</t>
  </si>
  <si>
    <t>P37802</t>
  </si>
  <si>
    <t>P38646</t>
  </si>
  <si>
    <t>P40121-2</t>
  </si>
  <si>
    <t>P40189-3</t>
  </si>
  <si>
    <t>P40227-2</t>
  </si>
  <si>
    <t>P40306</t>
  </si>
  <si>
    <t>P40617</t>
  </si>
  <si>
    <t>P40925</t>
  </si>
  <si>
    <t>P41091</t>
  </si>
  <si>
    <t>P41236</t>
  </si>
  <si>
    <t>P41250</t>
  </si>
  <si>
    <t>P42025</t>
  </si>
  <si>
    <t>P42330</t>
  </si>
  <si>
    <t>P42574</t>
  </si>
  <si>
    <t>P42785</t>
  </si>
  <si>
    <t>P43034</t>
  </si>
  <si>
    <t>P43121</t>
  </si>
  <si>
    <t>P43490</t>
  </si>
  <si>
    <t>P43652</t>
  </si>
  <si>
    <t>P43686</t>
  </si>
  <si>
    <t>P45381</t>
  </si>
  <si>
    <t>P45877</t>
  </si>
  <si>
    <t>P45974-2</t>
  </si>
  <si>
    <t>P46108-2</t>
  </si>
  <si>
    <t>P46781</t>
  </si>
  <si>
    <t>P46783</t>
  </si>
  <si>
    <t>P46940</t>
  </si>
  <si>
    <t>P47710-2</t>
  </si>
  <si>
    <t>P47710-3</t>
  </si>
  <si>
    <t>P47755</t>
  </si>
  <si>
    <t>P47895</t>
  </si>
  <si>
    <t>P47914</t>
  </si>
  <si>
    <t>P47989</t>
  </si>
  <si>
    <t>P48163</t>
  </si>
  <si>
    <t>P48449-2</t>
  </si>
  <si>
    <t>P48506</t>
  </si>
  <si>
    <t>P48637</t>
  </si>
  <si>
    <t>P48723</t>
  </si>
  <si>
    <t>P48739</t>
  </si>
  <si>
    <t>P48740</t>
  </si>
  <si>
    <t>P49006</t>
  </si>
  <si>
    <t>P49189</t>
  </si>
  <si>
    <t>P49257</t>
  </si>
  <si>
    <t>P49281-3</t>
  </si>
  <si>
    <t>P49327</t>
  </si>
  <si>
    <t>P49407-2</t>
  </si>
  <si>
    <t>P49419-2</t>
  </si>
  <si>
    <t>P49458</t>
  </si>
  <si>
    <t>P49588</t>
  </si>
  <si>
    <t>P49720</t>
  </si>
  <si>
    <t>P49721</t>
  </si>
  <si>
    <t>P49746</t>
  </si>
  <si>
    <t>P49755</t>
  </si>
  <si>
    <t>P49773</t>
  </si>
  <si>
    <t>P49788-2</t>
  </si>
  <si>
    <t>P49789</t>
  </si>
  <si>
    <t>P50135</t>
  </si>
  <si>
    <t>P50148</t>
  </si>
  <si>
    <t>P50502</t>
  </si>
  <si>
    <t>P50591</t>
  </si>
  <si>
    <t>P50749</t>
  </si>
  <si>
    <t>P50897</t>
  </si>
  <si>
    <t>P51148</t>
  </si>
  <si>
    <t>P51149</t>
  </si>
  <si>
    <t>P51151</t>
  </si>
  <si>
    <t>P51153</t>
  </si>
  <si>
    <t>P51511</t>
  </si>
  <si>
    <t>P51580</t>
  </si>
  <si>
    <t>P51688</t>
  </si>
  <si>
    <t>P51884</t>
  </si>
  <si>
    <t>P51993</t>
  </si>
  <si>
    <t>P52306-4</t>
  </si>
  <si>
    <t>P52758</t>
  </si>
  <si>
    <t>P52907</t>
  </si>
  <si>
    <t>P53367</t>
  </si>
  <si>
    <t>P53396</t>
  </si>
  <si>
    <t>P53602</t>
  </si>
  <si>
    <t>P53634</t>
  </si>
  <si>
    <t>P53990-2</t>
  </si>
  <si>
    <t>P54136-2</t>
  </si>
  <si>
    <t>P54289</t>
  </si>
  <si>
    <t>P54577</t>
  </si>
  <si>
    <t>P54727</t>
  </si>
  <si>
    <t>P54802</t>
  </si>
  <si>
    <t>P55001-3</t>
  </si>
  <si>
    <t>P55072</t>
  </si>
  <si>
    <t>P55145</t>
  </si>
  <si>
    <t>P55210-4</t>
  </si>
  <si>
    <t>P55212</t>
  </si>
  <si>
    <t>P55268</t>
  </si>
  <si>
    <t>P55290-3</t>
  </si>
  <si>
    <t>P55884</t>
  </si>
  <si>
    <t>P55957</t>
  </si>
  <si>
    <t>P56537</t>
  </si>
  <si>
    <t>P57735</t>
  </si>
  <si>
    <t>P58107</t>
  </si>
  <si>
    <t>P58546</t>
  </si>
  <si>
    <t>P60022</t>
  </si>
  <si>
    <t>P60174-1</t>
  </si>
  <si>
    <t>P60842</t>
  </si>
  <si>
    <t>P60866</t>
  </si>
  <si>
    <t>P60953</t>
  </si>
  <si>
    <t>P60981</t>
  </si>
  <si>
    <t>P61006</t>
  </si>
  <si>
    <t>P61009</t>
  </si>
  <si>
    <t>P61011-2</t>
  </si>
  <si>
    <t>P61019</t>
  </si>
  <si>
    <t>P61020</t>
  </si>
  <si>
    <t>P61026</t>
  </si>
  <si>
    <t>P61077</t>
  </si>
  <si>
    <t>P61081</t>
  </si>
  <si>
    <t>P61088</t>
  </si>
  <si>
    <t>P61106</t>
  </si>
  <si>
    <t>P61158</t>
  </si>
  <si>
    <t>P61160</t>
  </si>
  <si>
    <t>P61224</t>
  </si>
  <si>
    <t>P61225</t>
  </si>
  <si>
    <t>P61353</t>
  </si>
  <si>
    <t>P61457</t>
  </si>
  <si>
    <t>P61586</t>
  </si>
  <si>
    <t>P61604</t>
  </si>
  <si>
    <t>P61626</t>
  </si>
  <si>
    <t>P61764</t>
  </si>
  <si>
    <t>P61812</t>
  </si>
  <si>
    <t>P61981</t>
  </si>
  <si>
    <t>P62070</t>
  </si>
  <si>
    <t>P62140</t>
  </si>
  <si>
    <t>P62191</t>
  </si>
  <si>
    <t>P62195-2</t>
  </si>
  <si>
    <t>P62258</t>
  </si>
  <si>
    <t>P62263</t>
  </si>
  <si>
    <t>P62328</t>
  </si>
  <si>
    <t>P62330</t>
  </si>
  <si>
    <t>P62333</t>
  </si>
  <si>
    <t>P62424</t>
  </si>
  <si>
    <t>P62701</t>
  </si>
  <si>
    <t>P62745</t>
  </si>
  <si>
    <t>P62753</t>
  </si>
  <si>
    <t>P62805</t>
  </si>
  <si>
    <t>P62820</t>
  </si>
  <si>
    <t>P62834</t>
  </si>
  <si>
    <t>P62851</t>
  </si>
  <si>
    <t>P62854</t>
  </si>
  <si>
    <t>P62857</t>
  </si>
  <si>
    <t>P62873</t>
  </si>
  <si>
    <t>P62879</t>
  </si>
  <si>
    <t>P62906</t>
  </si>
  <si>
    <t>P62937</t>
  </si>
  <si>
    <t>P62942</t>
  </si>
  <si>
    <t>P62979</t>
  </si>
  <si>
    <t>P62993</t>
  </si>
  <si>
    <t>P63000</t>
  </si>
  <si>
    <t>P63092-3</t>
  </si>
  <si>
    <t>P63104</t>
  </si>
  <si>
    <t>P63218</t>
  </si>
  <si>
    <t>P63244</t>
  </si>
  <si>
    <t>P63261</t>
  </si>
  <si>
    <t>P63267</t>
  </si>
  <si>
    <t>P67936</t>
  </si>
  <si>
    <t>P67936-2</t>
  </si>
  <si>
    <t>P68036-2</t>
  </si>
  <si>
    <t>P68371</t>
  </si>
  <si>
    <t>P68871</t>
  </si>
  <si>
    <t>P69905</t>
  </si>
  <si>
    <t>P78324</t>
  </si>
  <si>
    <t>P78371-2</t>
  </si>
  <si>
    <t>P78410-3</t>
  </si>
  <si>
    <t>P78417</t>
  </si>
  <si>
    <t>P80108</t>
  </si>
  <si>
    <t>P80303-2</t>
  </si>
  <si>
    <t>P80748</t>
  </si>
  <si>
    <t>P81605</t>
  </si>
  <si>
    <t>P84077</t>
  </si>
  <si>
    <t>P84085</t>
  </si>
  <si>
    <t>P98082-2</t>
  </si>
  <si>
    <t>P98160</t>
  </si>
  <si>
    <t>P98164</t>
  </si>
  <si>
    <t>P98174</t>
  </si>
  <si>
    <t>Q00577</t>
  </si>
  <si>
    <t>Q00610-2</t>
  </si>
  <si>
    <t>Q00688</t>
  </si>
  <si>
    <t>Q01082</t>
  </si>
  <si>
    <t>Q01105-3</t>
  </si>
  <si>
    <t>Q01459</t>
  </si>
  <si>
    <t>Q01518-2</t>
  </si>
  <si>
    <t>Q01970-2</t>
  </si>
  <si>
    <t>Q01973-3</t>
  </si>
  <si>
    <t>Q02383</t>
  </si>
  <si>
    <t>Q02413</t>
  </si>
  <si>
    <t>Q02487-2</t>
  </si>
  <si>
    <t>Q02750</t>
  </si>
  <si>
    <t>Q02790</t>
  </si>
  <si>
    <t>Q02809</t>
  </si>
  <si>
    <t>Q02818</t>
  </si>
  <si>
    <t>Q02985-2</t>
  </si>
  <si>
    <t>Q03167-2</t>
  </si>
  <si>
    <t>Q03405-3</t>
  </si>
  <si>
    <t>Q03591</t>
  </si>
  <si>
    <t>Q04609-6</t>
  </si>
  <si>
    <t>Q04760-2</t>
  </si>
  <si>
    <t>Q04917</t>
  </si>
  <si>
    <t>Q05707-3</t>
  </si>
  <si>
    <t>Q06033-2</t>
  </si>
  <si>
    <t>Q06210-2</t>
  </si>
  <si>
    <t>Q06481</t>
  </si>
  <si>
    <t>Q06828</t>
  </si>
  <si>
    <t>Q06830</t>
  </si>
  <si>
    <t>Q07065</t>
  </si>
  <si>
    <t>Q07960</t>
  </si>
  <si>
    <t>Q08188</t>
  </si>
  <si>
    <t>Q08345-2</t>
  </si>
  <si>
    <t>Q08380</t>
  </si>
  <si>
    <t>Q08554-2</t>
  </si>
  <si>
    <t>Q08722-2</t>
  </si>
  <si>
    <t>Q09666</t>
  </si>
  <si>
    <t>Q10471</t>
  </si>
  <si>
    <t>Q10567-4</t>
  </si>
  <si>
    <t>Q10589</t>
  </si>
  <si>
    <t>Q12792</t>
  </si>
  <si>
    <t>Q12797-10</t>
  </si>
  <si>
    <t>Q12805-2</t>
  </si>
  <si>
    <t>Q12841</t>
  </si>
  <si>
    <t>Q12904</t>
  </si>
  <si>
    <t>Q12913-2</t>
  </si>
  <si>
    <t>Q13011</t>
  </si>
  <si>
    <t>Q13113</t>
  </si>
  <si>
    <t>Q13155</t>
  </si>
  <si>
    <t>Q13162</t>
  </si>
  <si>
    <t>Q13177</t>
  </si>
  <si>
    <t>Q13188</t>
  </si>
  <si>
    <t>Q13200</t>
  </si>
  <si>
    <t>Q13217</t>
  </si>
  <si>
    <t>Q13228</t>
  </si>
  <si>
    <t>Q13232</t>
  </si>
  <si>
    <t>Q13287</t>
  </si>
  <si>
    <t>Q13410</t>
  </si>
  <si>
    <t>Q13438</t>
  </si>
  <si>
    <t>Q13444-10</t>
  </si>
  <si>
    <t>Q13489</t>
  </si>
  <si>
    <t>Q13630</t>
  </si>
  <si>
    <t>Q13740-2</t>
  </si>
  <si>
    <t>Q13751</t>
  </si>
  <si>
    <t>Q13753-2</t>
  </si>
  <si>
    <t>Q13835-2</t>
  </si>
  <si>
    <t>Q13907</t>
  </si>
  <si>
    <t>Q14011</t>
  </si>
  <si>
    <t>Q14019</t>
  </si>
  <si>
    <t>Q14118</t>
  </si>
  <si>
    <t>Q14126</t>
  </si>
  <si>
    <t>Q14195</t>
  </si>
  <si>
    <t>Q14204</t>
  </si>
  <si>
    <t>Q14240</t>
  </si>
  <si>
    <t>Q14247</t>
  </si>
  <si>
    <t>Q14435</t>
  </si>
  <si>
    <t>Q14508</t>
  </si>
  <si>
    <t>Q14512</t>
  </si>
  <si>
    <t>Q14520-2</t>
  </si>
  <si>
    <t>Q14558</t>
  </si>
  <si>
    <t>Q14624</t>
  </si>
  <si>
    <t>Q14651</t>
  </si>
  <si>
    <t>Q14696</t>
  </si>
  <si>
    <t>Q14697</t>
  </si>
  <si>
    <t>Q14697-2</t>
  </si>
  <si>
    <t>Q14703</t>
  </si>
  <si>
    <t>Q14766</t>
  </si>
  <si>
    <t>Q14914-2</t>
  </si>
  <si>
    <t>Q14974</t>
  </si>
  <si>
    <t>Q14997</t>
  </si>
  <si>
    <t>Q15046</t>
  </si>
  <si>
    <t>Q15056-2</t>
  </si>
  <si>
    <t>Q15075</t>
  </si>
  <si>
    <t>Q15102</t>
  </si>
  <si>
    <t>Q15113</t>
  </si>
  <si>
    <t>Q15149-7</t>
  </si>
  <si>
    <t>Q15181</t>
  </si>
  <si>
    <t>Q15223-3</t>
  </si>
  <si>
    <t>Q15274</t>
  </si>
  <si>
    <t>Q15293</t>
  </si>
  <si>
    <t>Q15365</t>
  </si>
  <si>
    <t>Q15375-4</t>
  </si>
  <si>
    <t>Q15435</t>
  </si>
  <si>
    <t>Q15485</t>
  </si>
  <si>
    <t>Q15599-2</t>
  </si>
  <si>
    <t>Q15738</t>
  </si>
  <si>
    <t>Q15758</t>
  </si>
  <si>
    <t>Q15782-6</t>
  </si>
  <si>
    <t>Q15828</t>
  </si>
  <si>
    <t>Q15833</t>
  </si>
  <si>
    <t>Q15848</t>
  </si>
  <si>
    <t>Q15904</t>
  </si>
  <si>
    <t>Q15907</t>
  </si>
  <si>
    <t>Q16222-2</t>
  </si>
  <si>
    <t>Q16270-2</t>
  </si>
  <si>
    <t>Q16348-2</t>
  </si>
  <si>
    <t>Q16363-2</t>
  </si>
  <si>
    <t>Q16401-2</t>
  </si>
  <si>
    <t>Q16555-2</t>
  </si>
  <si>
    <t>Q16610</t>
  </si>
  <si>
    <t>Q16620-2</t>
  </si>
  <si>
    <t>Q16625-5</t>
  </si>
  <si>
    <t>Q16651</t>
  </si>
  <si>
    <t>Q16706</t>
  </si>
  <si>
    <t>Q16787-1</t>
  </si>
  <si>
    <t>Q16851</t>
  </si>
  <si>
    <t>Q16851-2</t>
  </si>
  <si>
    <t>Q24JP5</t>
  </si>
  <si>
    <t>Q2I0M4</t>
  </si>
  <si>
    <t>Q31612</t>
  </si>
  <si>
    <t>Q32MZ4-3</t>
  </si>
  <si>
    <t>Q32P28</t>
  </si>
  <si>
    <t>Q32Q12</t>
  </si>
  <si>
    <t>Q3LXA3</t>
  </si>
  <si>
    <t>Q3ZCW2</t>
  </si>
  <si>
    <t>Q53EL6-2</t>
  </si>
  <si>
    <t>Q53FA7</t>
  </si>
  <si>
    <t>Q53H82</t>
  </si>
  <si>
    <t>Q53TN4-3</t>
  </si>
  <si>
    <t>Q5FBY0</t>
  </si>
  <si>
    <t>Q5H8X8</t>
  </si>
  <si>
    <t>Q5H9A7</t>
  </si>
  <si>
    <t>Q5HY54</t>
  </si>
  <si>
    <t>Q5JP53</t>
  </si>
  <si>
    <t>Q5JR95</t>
  </si>
  <si>
    <t>Q5JU69</t>
  </si>
  <si>
    <t>Q5QPP3</t>
  </si>
  <si>
    <t>Q5QPQ1</t>
  </si>
  <si>
    <t>Q5R3E4</t>
  </si>
  <si>
    <t>Q5RJ85</t>
  </si>
  <si>
    <t>Q5SPY9</t>
  </si>
  <si>
    <t>Q5SRP5</t>
  </si>
  <si>
    <t>Q5SRQ3</t>
  </si>
  <si>
    <t>Q5SY01</t>
  </si>
  <si>
    <t>Q5T0D2</t>
  </si>
  <si>
    <t>Q5T0N5-3</t>
  </si>
  <si>
    <t>Q5T123</t>
  </si>
  <si>
    <t>Q5T278</t>
  </si>
  <si>
    <t>Q5T2L0</t>
  </si>
  <si>
    <t>Q5T3N0</t>
  </si>
  <si>
    <t>Q5T446</t>
  </si>
  <si>
    <t>Q5T4U8</t>
  </si>
  <si>
    <t>Q5T5C7</t>
  </si>
  <si>
    <t>Q5T6W2</t>
  </si>
  <si>
    <t>Q5T749</t>
  </si>
  <si>
    <t>Q5T750</t>
  </si>
  <si>
    <t>Q5T8R3</t>
  </si>
  <si>
    <t>Q5T946</t>
  </si>
  <si>
    <t>Q5T949</t>
  </si>
  <si>
    <t>Q5T985</t>
  </si>
  <si>
    <t>Q5T9B7</t>
  </si>
  <si>
    <t>Q5TAW7</t>
  </si>
  <si>
    <t>Q5TCJ7</t>
  </si>
  <si>
    <t>Q5TCU6</t>
  </si>
  <si>
    <t>Q5TFK1</t>
  </si>
  <si>
    <t>Q5VT82</t>
  </si>
  <si>
    <t>Q5VTE0</t>
  </si>
  <si>
    <t>Q5VU59</t>
  </si>
  <si>
    <t>Q5VUC0</t>
  </si>
  <si>
    <t>Q5VY30</t>
  </si>
  <si>
    <t>Q5VYL6</t>
  </si>
  <si>
    <t>Q5W0A2</t>
  </si>
  <si>
    <t>Q5W0H4</t>
  </si>
  <si>
    <t>Q5Y7A7</t>
  </si>
  <si>
    <t>Q66K79</t>
  </si>
  <si>
    <t>Q68CR9</t>
  </si>
  <si>
    <t>Q68D85</t>
  </si>
  <si>
    <t>Q6EMK4</t>
  </si>
  <si>
    <t>Q6GMV3</t>
  </si>
  <si>
    <t>Q6ICJ4</t>
  </si>
  <si>
    <t>Q6NSI1</t>
  </si>
  <si>
    <t>Q6P163</t>
  </si>
  <si>
    <t>Q6P179-3</t>
  </si>
  <si>
    <t>Q6P4E1-2</t>
  </si>
  <si>
    <t>Q6P5S2</t>
  </si>
  <si>
    <t>Q6P6B1</t>
  </si>
  <si>
    <t>Q6PCB0</t>
  </si>
  <si>
    <t>Q6UW49</t>
  </si>
  <si>
    <t>Q6UWP8</t>
  </si>
  <si>
    <t>Q6UX06</t>
  </si>
  <si>
    <t>Q6UX71</t>
  </si>
  <si>
    <t>Q6UX72</t>
  </si>
  <si>
    <t>Q6UXA7</t>
  </si>
  <si>
    <t>Q6UXB2</t>
  </si>
  <si>
    <t>Q6UXI9</t>
  </si>
  <si>
    <t>Q6UXU6</t>
  </si>
  <si>
    <t>Q6W4X9</t>
  </si>
  <si>
    <t>Q6WN34</t>
  </si>
  <si>
    <t>Q6WN34-2</t>
  </si>
  <si>
    <t>Q6X4U4</t>
  </si>
  <si>
    <t>Q6YHK3-3</t>
  </si>
  <si>
    <t>Q6YP21-3</t>
  </si>
  <si>
    <t>Q6ZQN7</t>
  </si>
  <si>
    <t>Q6ZVX7</t>
  </si>
  <si>
    <t>Q6ZWK4</t>
  </si>
  <si>
    <t>Q71U36-2</t>
  </si>
  <si>
    <t>Q7KZF4</t>
  </si>
  <si>
    <t>Q7L1Q6-2</t>
  </si>
  <si>
    <t>Q7L266</t>
  </si>
  <si>
    <t>Q7LBR1</t>
  </si>
  <si>
    <t>Q7Z304</t>
  </si>
  <si>
    <t>Q7Z404-1</t>
  </si>
  <si>
    <t>Q7Z451</t>
  </si>
  <si>
    <t>Q7Z553</t>
  </si>
  <si>
    <t>Q7Z6K5</t>
  </si>
  <si>
    <t>Q7Z6Z7-2</t>
  </si>
  <si>
    <t>Q7Z7H5-3</t>
  </si>
  <si>
    <t>Q7Z7M0-2</t>
  </si>
  <si>
    <t>Q7Z7M9</t>
  </si>
  <si>
    <t>Q86SQ4-2</t>
  </si>
  <si>
    <t>Q86UP2-2</t>
  </si>
  <si>
    <t>Q86UY0</t>
  </si>
  <si>
    <t>Q86V85</t>
  </si>
  <si>
    <t>Q86VP6</t>
  </si>
  <si>
    <t>Q86WR0</t>
  </si>
  <si>
    <t>Q86X27-2</t>
  </si>
  <si>
    <t>Q86Y38</t>
  </si>
  <si>
    <t>Q86Y82</t>
  </si>
  <si>
    <t>Q8IUX7</t>
  </si>
  <si>
    <t>Q8IV08</t>
  </si>
  <si>
    <t>Q8IVY1</t>
  </si>
  <si>
    <t>Q8IXL6</t>
  </si>
  <si>
    <t>Q8IZ07</t>
  </si>
  <si>
    <t>Q8IZ21-3</t>
  </si>
  <si>
    <t>Q8N0X7</t>
  </si>
  <si>
    <t>Q8N1G4</t>
  </si>
  <si>
    <t>Q8N271</t>
  </si>
  <si>
    <t>Q8N335</t>
  </si>
  <si>
    <t>Q8N387</t>
  </si>
  <si>
    <t>Q8N392-2</t>
  </si>
  <si>
    <t>Q8N474</t>
  </si>
  <si>
    <t>Q8N8Z6-2</t>
  </si>
  <si>
    <t>Q8N9U0</t>
  </si>
  <si>
    <t>Q8NBF2</t>
  </si>
  <si>
    <t>Q8NBJ4-2</t>
  </si>
  <si>
    <t>Q8NC51-4</t>
  </si>
  <si>
    <t>Q8NCC3</t>
  </si>
  <si>
    <t>Q8NCL4</t>
  </si>
  <si>
    <t>Q8NEG4-2</t>
  </si>
  <si>
    <t>Q8NES3-3</t>
  </si>
  <si>
    <t>Q8NFL0</t>
  </si>
  <si>
    <t>Q8NFT8</t>
  </si>
  <si>
    <t>Q8NFU4</t>
  </si>
  <si>
    <t>Q8NFZ8</t>
  </si>
  <si>
    <t>Q8NHG7</t>
  </si>
  <si>
    <t>Q8NHM4</t>
  </si>
  <si>
    <t>Q8NHP8</t>
  </si>
  <si>
    <t>Q8NI22-2</t>
  </si>
  <si>
    <t>Q8TB96</t>
  </si>
  <si>
    <t>Q8TBP5</t>
  </si>
  <si>
    <t>Q8TEA8</t>
  </si>
  <si>
    <t>Q8WUA8</t>
  </si>
  <si>
    <t>Q8WUH6</t>
  </si>
  <si>
    <t>Q8WUM4</t>
  </si>
  <si>
    <t>Q8WV88</t>
  </si>
  <si>
    <t>Q8WVC2</t>
  </si>
  <si>
    <t>Q8WVQ1</t>
  </si>
  <si>
    <t>Q8WVY7</t>
  </si>
  <si>
    <t>Q8WWX8-5</t>
  </si>
  <si>
    <t>Q8WWX9</t>
  </si>
  <si>
    <t>Q8WYA0-4</t>
  </si>
  <si>
    <t>Q8WYQ7</t>
  </si>
  <si>
    <t>Q8WZA0</t>
  </si>
  <si>
    <t>Q8WZA9</t>
  </si>
  <si>
    <t>Q92485</t>
  </si>
  <si>
    <t>Q92499</t>
  </si>
  <si>
    <t>Q92520</t>
  </si>
  <si>
    <t>Q92597</t>
  </si>
  <si>
    <t>Q92598-2</t>
  </si>
  <si>
    <t>Q92626</t>
  </si>
  <si>
    <t>Q92673</t>
  </si>
  <si>
    <t>Q92692-2</t>
  </si>
  <si>
    <t>Q92747</t>
  </si>
  <si>
    <t>Q92820</t>
  </si>
  <si>
    <t>Q92859-3</t>
  </si>
  <si>
    <t>Q92876</t>
  </si>
  <si>
    <t>Q92882</t>
  </si>
  <si>
    <t>Q92896</t>
  </si>
  <si>
    <t>Q93099</t>
  </si>
  <si>
    <t>Q95604</t>
  </si>
  <si>
    <t>Q969P0-3</t>
  </si>
  <si>
    <t>Q96A44</t>
  </si>
  <si>
    <t>Q96AG4</t>
  </si>
  <si>
    <t>Q96BA8-2</t>
  </si>
  <si>
    <t>Q96C19</t>
  </si>
  <si>
    <t>Q96CF2</t>
  </si>
  <si>
    <t>Q96CN7</t>
  </si>
  <si>
    <t>Q96DA0</t>
  </si>
  <si>
    <t>Q96DE0-3</t>
  </si>
  <si>
    <t>Q96DZ1-2</t>
  </si>
  <si>
    <t>Q96EU7</t>
  </si>
  <si>
    <t>Q96FE7-4</t>
  </si>
  <si>
    <t>Q96FQ6</t>
  </si>
  <si>
    <t>Q96G03</t>
  </si>
  <si>
    <t>Q96HD1</t>
  </si>
  <si>
    <t>Q96HE7</t>
  </si>
  <si>
    <t>Q96HY6-2</t>
  </si>
  <si>
    <t>Q96IJ6</t>
  </si>
  <si>
    <t>Q96IY4</t>
  </si>
  <si>
    <t>Q96K76-2</t>
  </si>
  <si>
    <t>Q96KN1</t>
  </si>
  <si>
    <t>Q96KP4</t>
  </si>
  <si>
    <t>Q96L35</t>
  </si>
  <si>
    <t>Q96LJ7</t>
  </si>
  <si>
    <t>Q96M27-4</t>
  </si>
  <si>
    <t>Q96M93-2</t>
  </si>
  <si>
    <t>Q96MK3</t>
  </si>
  <si>
    <t>Q96NY8</t>
  </si>
  <si>
    <t>Q96PD5</t>
  </si>
  <si>
    <t>Q96Q06</t>
  </si>
  <si>
    <t>Q96QK1</t>
  </si>
  <si>
    <t>Q96QR8</t>
  </si>
  <si>
    <t>Q96RF0-3</t>
  </si>
  <si>
    <t>Q96S96</t>
  </si>
  <si>
    <t>Q96TA1-2</t>
  </si>
  <si>
    <t>Q99436</t>
  </si>
  <si>
    <t>Q99447-3</t>
  </si>
  <si>
    <t>Q99460</t>
  </si>
  <si>
    <t>Q99497</t>
  </si>
  <si>
    <t>Q99519</t>
  </si>
  <si>
    <t>Q99523</t>
  </si>
  <si>
    <t>Q99536</t>
  </si>
  <si>
    <t>Q99538</t>
  </si>
  <si>
    <t>Q99541</t>
  </si>
  <si>
    <t>Q99574</t>
  </si>
  <si>
    <t>Q99584</t>
  </si>
  <si>
    <t>Q99650</t>
  </si>
  <si>
    <t>Q99674</t>
  </si>
  <si>
    <t>Q99727</t>
  </si>
  <si>
    <t>Q99805</t>
  </si>
  <si>
    <t>Q99828</t>
  </si>
  <si>
    <t>Q99832-3</t>
  </si>
  <si>
    <t>Q99878</t>
  </si>
  <si>
    <t>Q99941-2</t>
  </si>
  <si>
    <t>Q9BPX5</t>
  </si>
  <si>
    <t>Q9BR76</t>
  </si>
  <si>
    <t>Q9BRA2</t>
  </si>
  <si>
    <t>Q9BRK5</t>
  </si>
  <si>
    <t>Q9BS26</t>
  </si>
  <si>
    <t>Q9BS40</t>
  </si>
  <si>
    <t>Q9BSG0</t>
  </si>
  <si>
    <t>Q9BSH5</t>
  </si>
  <si>
    <t>Q9BSJ8</t>
  </si>
  <si>
    <t>Q9BTY2</t>
  </si>
  <si>
    <t>Q9BUB1</t>
  </si>
  <si>
    <t>Q9BUF5</t>
  </si>
  <si>
    <t>Q9BUF7</t>
  </si>
  <si>
    <t>Q9BUP0</t>
  </si>
  <si>
    <t>Q9BVC6</t>
  </si>
  <si>
    <t>Q9BVG4</t>
  </si>
  <si>
    <t>Q9BVJ7</t>
  </si>
  <si>
    <t>Q9BW04</t>
  </si>
  <si>
    <t>Q9BWD1</t>
  </si>
  <si>
    <t>Q9BXJ1</t>
  </si>
  <si>
    <t>Q9BY67-2</t>
  </si>
  <si>
    <t>Q9BY76</t>
  </si>
  <si>
    <t>Q9BYF1</t>
  </si>
  <si>
    <t>Q9BZD6</t>
  </si>
  <si>
    <t>Q9GZM7-3</t>
  </si>
  <si>
    <t>Q9GZN4</t>
  </si>
  <si>
    <t>Q9GZP0-2</t>
  </si>
  <si>
    <t>Q9H0E2</t>
  </si>
  <si>
    <t>Q9H0N0</t>
  </si>
  <si>
    <t>Q9H0Q0</t>
  </si>
  <si>
    <t>Q9H0U4</t>
  </si>
  <si>
    <t>Q9H0W9-3</t>
  </si>
  <si>
    <t>Q9H0X4</t>
  </si>
  <si>
    <t>Q9H173</t>
  </si>
  <si>
    <t>Q9H1C7</t>
  </si>
  <si>
    <t>Q9H1J1-3</t>
  </si>
  <si>
    <t>Q9H1X3-3</t>
  </si>
  <si>
    <t>Q9H223</t>
  </si>
  <si>
    <t>Q9H246</t>
  </si>
  <si>
    <t>Q9H257-3</t>
  </si>
  <si>
    <t>Q9H2G2-2</t>
  </si>
  <si>
    <t>Q9H2K8</t>
  </si>
  <si>
    <t>Q9H2S1</t>
  </si>
  <si>
    <t>Q9H3G5</t>
  </si>
  <si>
    <t>Q9H3K6</t>
  </si>
  <si>
    <t>Q9H3Z4-2</t>
  </si>
  <si>
    <t>Q9H444</t>
  </si>
  <si>
    <t>Q9H479</t>
  </si>
  <si>
    <t>Q9H4F8</t>
  </si>
  <si>
    <t>Q9H4G4</t>
  </si>
  <si>
    <t>Q9H6S3</t>
  </si>
  <si>
    <t>Q9H741</t>
  </si>
  <si>
    <t>Q9H772</t>
  </si>
  <si>
    <t>Q9H773</t>
  </si>
  <si>
    <t>Q9H813</t>
  </si>
  <si>
    <t>Q9H8J5</t>
  </si>
  <si>
    <t>Q9H8M7-2</t>
  </si>
  <si>
    <t>Q9H8S9</t>
  </si>
  <si>
    <t>Q9HAB8</t>
  </si>
  <si>
    <t>Q9HAT2</t>
  </si>
  <si>
    <t>Q9HAV0</t>
  </si>
  <si>
    <t>Q9HB40</t>
  </si>
  <si>
    <t>Q9HB63-3</t>
  </si>
  <si>
    <t>Q9HB71-3</t>
  </si>
  <si>
    <t>Q9HBR0</t>
  </si>
  <si>
    <t>Q9HC38-2</t>
  </si>
  <si>
    <t>Q9HC57</t>
  </si>
  <si>
    <t>Q9HCB6</t>
  </si>
  <si>
    <t>Q9HCU4</t>
  </si>
  <si>
    <t>Q9HCY8</t>
  </si>
  <si>
    <t>Q9NP72</t>
  </si>
  <si>
    <t>Q9NQE9</t>
  </si>
  <si>
    <t>Q9NQR4</t>
  </si>
  <si>
    <t>Q9NQT8</t>
  </si>
  <si>
    <t>Q9NQW7-2</t>
  </si>
  <si>
    <t>Q9NR16-3</t>
  </si>
  <si>
    <t>Q9NR19</t>
  </si>
  <si>
    <t>Q9NR31</t>
  </si>
  <si>
    <t>Q9NR45</t>
  </si>
  <si>
    <t>Q9NR99</t>
  </si>
  <si>
    <t>Q9NRR5</t>
  </si>
  <si>
    <t>Q9NRR8</t>
  </si>
  <si>
    <t>Q9NRV9</t>
  </si>
  <si>
    <t>Q9NSD9</t>
  </si>
  <si>
    <t>Q9NT62-2</t>
  </si>
  <si>
    <t>Q9NTX5-6</t>
  </si>
  <si>
    <t>Q9NV23</t>
  </si>
  <si>
    <t>Q9NVE4</t>
  </si>
  <si>
    <t>Q9NVM1</t>
  </si>
  <si>
    <t>Q9NW21</t>
  </si>
  <si>
    <t>Q9NX46</t>
  </si>
  <si>
    <t>Q9NX55</t>
  </si>
  <si>
    <t>Q9NX62</t>
  </si>
  <si>
    <t>Q9NY15</t>
  </si>
  <si>
    <t>Q9NY97-2</t>
  </si>
  <si>
    <t>Q9NYQ8</t>
  </si>
  <si>
    <t>Q9NYU2-2</t>
  </si>
  <si>
    <t>Q9NZ08</t>
  </si>
  <si>
    <t>Q9NZ20</t>
  </si>
  <si>
    <t>Q9NZJ5</t>
  </si>
  <si>
    <t>Q9NZP8</t>
  </si>
  <si>
    <t>Q9NZT1</t>
  </si>
  <si>
    <t>Q9NZV1</t>
  </si>
  <si>
    <t>Q9NZZ3-2</t>
  </si>
  <si>
    <t>Q9P055</t>
  </si>
  <si>
    <t>Q9P0L0</t>
  </si>
  <si>
    <t>Q9P0S2</t>
  </si>
  <si>
    <t>Q9P1F3</t>
  </si>
  <si>
    <t>Q9P2B2</t>
  </si>
  <si>
    <t>Q9P2E9-2</t>
  </si>
  <si>
    <t>Q9P2K2</t>
  </si>
  <si>
    <t>Q9P2X0</t>
  </si>
  <si>
    <t>Q9UBI6</t>
  </si>
  <si>
    <t>Q9UBR2</t>
  </si>
  <si>
    <t>Q9UBS3</t>
  </si>
  <si>
    <t>Q9UBX1</t>
  </si>
  <si>
    <t>Q9UEL6</t>
  </si>
  <si>
    <t>Q9UHD0</t>
  </si>
  <si>
    <t>Q9UHD8-3</t>
  </si>
  <si>
    <t>Q9UHG2</t>
  </si>
  <si>
    <t>Q9UHI8</t>
  </si>
  <si>
    <t>Q9UHL4</t>
  </si>
  <si>
    <t>Q9UHV9</t>
  </si>
  <si>
    <t>Q9UJJ9</t>
  </si>
  <si>
    <t>Q9UJW0-2</t>
  </si>
  <si>
    <t>Q9UKS6</t>
  </si>
  <si>
    <t>Q9UKY7</t>
  </si>
  <si>
    <t>Q9UL25</t>
  </si>
  <si>
    <t>Q9UL26</t>
  </si>
  <si>
    <t>Q9ULC4</t>
  </si>
  <si>
    <t>Q9ULM3</t>
  </si>
  <si>
    <t>Q9ULZ3-2</t>
  </si>
  <si>
    <t>Q9UMX0-2</t>
  </si>
  <si>
    <t>Q9UMX5</t>
  </si>
  <si>
    <t>Q9UMY4-2</t>
  </si>
  <si>
    <t>Q9UN70-4</t>
  </si>
  <si>
    <t>Q9UN76</t>
  </si>
  <si>
    <t>Q9UNF0-2</t>
  </si>
  <si>
    <t>Q9UNM6</t>
  </si>
  <si>
    <t>Q9UNQ0-2</t>
  </si>
  <si>
    <t>Q9UNW1</t>
  </si>
  <si>
    <t>Q9UQ80</t>
  </si>
  <si>
    <t>Q9Y266</t>
  </si>
  <si>
    <t>Q9Y2A9</t>
  </si>
  <si>
    <t>Q9Y2B0</t>
  </si>
  <si>
    <t>Q9Y2S2-2</t>
  </si>
  <si>
    <t>Q9Y2V2</t>
  </si>
  <si>
    <t>Q9Y2Z0-2</t>
  </si>
  <si>
    <t>Q9Y376</t>
  </si>
  <si>
    <t>Q9Y3A5</t>
  </si>
  <si>
    <t>Q9Y3B3-2</t>
  </si>
  <si>
    <t>Q9Y3C8</t>
  </si>
  <si>
    <t>Q9Y3D6</t>
  </si>
  <si>
    <t>Q9Y3E7-4</t>
  </si>
  <si>
    <t>Q9Y5E5</t>
  </si>
  <si>
    <t>Q9Y5P6</t>
  </si>
  <si>
    <t>Q9Y5X3</t>
  </si>
  <si>
    <t>Q9Y5X9</t>
  </si>
  <si>
    <t>Q9Y5Y6</t>
  </si>
  <si>
    <t>Q9Y5Z4</t>
  </si>
  <si>
    <t>Q9Y617</t>
  </si>
  <si>
    <t>Q9Y646</t>
  </si>
  <si>
    <t>Q9Y653-2</t>
  </si>
  <si>
    <t>Q9Y678</t>
  </si>
  <si>
    <t>Q9Y679</t>
  </si>
  <si>
    <t>Q9Y696</t>
  </si>
  <si>
    <t>Q9Y6B6</t>
  </si>
  <si>
    <t>Q9Y6E0</t>
  </si>
  <si>
    <t>Q9Y6R7</t>
  </si>
  <si>
    <t>Q9Y6X5</t>
  </si>
  <si>
    <t>Q9Y6Y9</t>
  </si>
  <si>
    <t>R4GMT0</t>
  </si>
  <si>
    <t>R4GMX0</t>
  </si>
  <si>
    <t>R4GNF9</t>
  </si>
  <si>
    <t>FC_TMT126_P014818_breast_milk</t>
  </si>
  <si>
    <t>FC_TMT127L_P014818_breast_milk</t>
  </si>
  <si>
    <t>FC_TMT127H_P014818_breast_milk</t>
  </si>
  <si>
    <t>FC_TMT128L_P014818_breast_milk</t>
  </si>
  <si>
    <t>FC_TMT128H_P014818_breast_milk</t>
  </si>
  <si>
    <t>FC_TMT129L_P014818_breast_milk</t>
  </si>
  <si>
    <t>FC_TMT129H_P014818_breast_milk</t>
  </si>
  <si>
    <t>FC_TMT130L_P014818_breast_milk</t>
  </si>
  <si>
    <t>FC_TMT130H_P014818_breast_milk</t>
  </si>
  <si>
    <t>FC_TMT131L_P014818_breast_milk</t>
  </si>
  <si>
    <t>a_P014818_breast_milk</t>
  </si>
  <si>
    <t>b_P014818_breast_milk</t>
  </si>
  <si>
    <t>meltPoint_P014818_breast_milk</t>
  </si>
  <si>
    <t>inflPoint_P014818_breast_milk</t>
  </si>
  <si>
    <t>slope_P014818_breast_milk</t>
  </si>
  <si>
    <t>plateau_P014818_breast_milk</t>
  </si>
  <si>
    <t>R_sq_P014818_breast_milk</t>
  </si>
  <si>
    <t>protein_identified_in_P014818_breast_milk</t>
  </si>
  <si>
    <t>model_converged_P014818_breast_milk</t>
  </si>
  <si>
    <t>sufficient_data_for_fit_P014818_breast_milk</t>
  </si>
  <si>
    <t>Proteinname_P014818_breast_milk</t>
  </si>
  <si>
    <t>numSpec_P014818_breast_milk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</si>
</sst>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71"/>
  <sheetViews>
    <sheetView tabSelected="1" workbookViewId="0">
      <selection activeCell="M18" sqref="M18"/>
    </sheetView>
  </sheetViews>
  <sheetFormatPr defaultRowHeight="15" x14ac:dyDescent="0.25"/>
  <sheetData>
    <row r="1" spans="1:28" s="2" customFormat="1" ht="90" x14ac:dyDescent="0.25">
      <c r="A1" s="1" t="s">
        <v>0</v>
      </c>
      <c r="B1" s="1" t="s">
        <v>9260</v>
      </c>
      <c r="C1" s="1" t="s">
        <v>9261</v>
      </c>
      <c r="D1" s="1" t="s">
        <v>9262</v>
      </c>
      <c r="E1" s="1" t="s">
        <v>9263</v>
      </c>
      <c r="F1" s="1" t="s">
        <v>9264</v>
      </c>
      <c r="G1" s="1" t="s">
        <v>9265</v>
      </c>
      <c r="H1" s="1" t="s">
        <v>9266</v>
      </c>
      <c r="I1" s="1" t="s">
        <v>9267</v>
      </c>
      <c r="J1" s="1" t="s">
        <v>9268</v>
      </c>
      <c r="K1" s="1" t="s">
        <v>9269</v>
      </c>
      <c r="L1" s="1" t="s">
        <v>9270</v>
      </c>
      <c r="M1" s="1" t="s">
        <v>9271</v>
      </c>
      <c r="N1" s="1" t="s">
        <v>9272</v>
      </c>
      <c r="O1" s="1" t="s">
        <v>9273</v>
      </c>
      <c r="P1" s="1" t="s">
        <v>9274</v>
      </c>
      <c r="Q1" s="1" t="s">
        <v>9275</v>
      </c>
      <c r="R1" s="1" t="s">
        <v>9276</v>
      </c>
      <c r="S1" s="1" t="s">
        <v>1</v>
      </c>
      <c r="T1" s="1" t="s">
        <v>9277</v>
      </c>
      <c r="U1" s="1" t="s">
        <v>9278</v>
      </c>
      <c r="V1" s="1" t="s">
        <v>9279</v>
      </c>
      <c r="W1" s="1" t="s">
        <v>9280</v>
      </c>
      <c r="X1" s="1" t="s">
        <v>9281</v>
      </c>
      <c r="Y1" s="1" t="s">
        <v>2</v>
      </c>
      <c r="Z1" s="1" t="s">
        <v>3</v>
      </c>
      <c r="AA1" s="1" t="s">
        <v>4</v>
      </c>
      <c r="AB1" s="1" t="s">
        <v>5</v>
      </c>
    </row>
    <row r="2" spans="1:28" x14ac:dyDescent="0.25">
      <c r="A2" t="s">
        <v>6</v>
      </c>
      <c r="B2">
        <v>1</v>
      </c>
      <c r="C2">
        <v>1.3307182996717299</v>
      </c>
      <c r="D2">
        <v>1.86841373170867</v>
      </c>
      <c r="E2">
        <v>3.0751126690035102</v>
      </c>
      <c r="F2">
        <v>1.8261280810103999</v>
      </c>
      <c r="G2">
        <v>2.0831803260446198</v>
      </c>
      <c r="H2">
        <v>1.70500194736549</v>
      </c>
      <c r="I2">
        <v>2.5388638513325499</v>
      </c>
      <c r="J2">
        <v>2.7874033272130401</v>
      </c>
      <c r="K2">
        <v>2.5496578200634299</v>
      </c>
      <c r="S2" t="s">
        <v>1876</v>
      </c>
      <c r="T2" t="s">
        <v>3746</v>
      </c>
      <c r="U2" t="s">
        <v>3747</v>
      </c>
      <c r="V2" t="s">
        <v>3746</v>
      </c>
      <c r="W2" t="s">
        <v>3748</v>
      </c>
      <c r="X2">
        <v>2</v>
      </c>
      <c r="Y2" t="s">
        <v>5605</v>
      </c>
      <c r="Z2" t="s">
        <v>7390</v>
      </c>
      <c r="AB2" t="str">
        <f>HYPERLINK("Melting_Curves/meltCurve_A0AVT1_UBA6.pdf", "Melting_Curves/meltCurve_A0AVT1_UBA6.pdf")</f>
        <v>Melting_Curves/meltCurve_A0AVT1_UBA6.pdf</v>
      </c>
    </row>
    <row r="3" spans="1:28" x14ac:dyDescent="0.25">
      <c r="A3" t="s">
        <v>7</v>
      </c>
      <c r="B3">
        <v>1</v>
      </c>
      <c r="C3">
        <v>1.1747775088213701</v>
      </c>
      <c r="D3">
        <v>1.6386671002083399</v>
      </c>
      <c r="E3">
        <v>1.6917759552970399</v>
      </c>
      <c r="F3">
        <v>1.1884942856798799</v>
      </c>
      <c r="G3">
        <v>1.9611739345111201</v>
      </c>
      <c r="H3">
        <v>0.401062177101774</v>
      </c>
      <c r="I3">
        <v>1.3356696412442599</v>
      </c>
      <c r="J3">
        <v>0.95312932788997695</v>
      </c>
      <c r="K3">
        <v>1.16976769391958</v>
      </c>
      <c r="L3">
        <v>10708.034750553699</v>
      </c>
      <c r="M3">
        <v>250</v>
      </c>
      <c r="O3">
        <v>42.829397875026402</v>
      </c>
      <c r="P3">
        <v>0.42679141641612101</v>
      </c>
      <c r="Q3">
        <v>1.29246751084486</v>
      </c>
      <c r="R3">
        <v>4.7274131215766402E-2</v>
      </c>
      <c r="S3" t="s">
        <v>1877</v>
      </c>
      <c r="T3" t="s">
        <v>3746</v>
      </c>
      <c r="U3" t="s">
        <v>3746</v>
      </c>
      <c r="V3" t="s">
        <v>3746</v>
      </c>
      <c r="W3" t="s">
        <v>3749</v>
      </c>
      <c r="X3">
        <v>6</v>
      </c>
      <c r="Y3" t="s">
        <v>5606</v>
      </c>
      <c r="Z3" t="s">
        <v>7391</v>
      </c>
      <c r="AA3">
        <v>1.2648352379643779</v>
      </c>
      <c r="AB3" t="str">
        <f>HYPERLINK("Melting_Curves/meltCurve_A0M8Q6_IGLC7.pdf", "Melting_Curves/meltCurve_A0M8Q6_IGLC7.pdf")</f>
        <v>Melting_Curves/meltCurve_A0M8Q6_IGLC7.pdf</v>
      </c>
    </row>
    <row r="4" spans="1:28" x14ac:dyDescent="0.25">
      <c r="A4" t="s">
        <v>8</v>
      </c>
      <c r="B4">
        <v>1</v>
      </c>
      <c r="C4">
        <v>1.1129456345216899</v>
      </c>
      <c r="D4">
        <v>1.52234939293171</v>
      </c>
      <c r="E4">
        <v>2.1465083906890401</v>
      </c>
      <c r="F4">
        <v>1.43619982986621</v>
      </c>
      <c r="G4">
        <v>1.34792359446292</v>
      </c>
      <c r="H4">
        <v>1.0919109117624299</v>
      </c>
      <c r="I4">
        <v>1.5055293480782601</v>
      </c>
      <c r="J4">
        <v>1.6465083906890401</v>
      </c>
      <c r="K4">
        <v>1.5136107029618699</v>
      </c>
      <c r="L4">
        <v>10777.838147639701</v>
      </c>
      <c r="M4">
        <v>250</v>
      </c>
      <c r="O4">
        <v>43.1085937671659</v>
      </c>
      <c r="P4">
        <v>0.72491346430593295</v>
      </c>
      <c r="Q4">
        <v>1.5</v>
      </c>
      <c r="R4">
        <v>0.35836895575474198</v>
      </c>
      <c r="S4" t="s">
        <v>1878</v>
      </c>
      <c r="T4" t="s">
        <v>3746</v>
      </c>
      <c r="U4" t="s">
        <v>3746</v>
      </c>
      <c r="V4" t="s">
        <v>3746</v>
      </c>
      <c r="W4" t="s">
        <v>3750</v>
      </c>
      <c r="X4">
        <v>7</v>
      </c>
      <c r="Y4" t="s">
        <v>5607</v>
      </c>
      <c r="Z4" t="s">
        <v>7392</v>
      </c>
      <c r="AA4">
        <v>1.4481062936054589</v>
      </c>
      <c r="AB4" t="str">
        <f>HYPERLINK("Melting_Curves/meltCurve_A0MZ66_KIAA1598.pdf", "Melting_Curves/meltCurve_A0MZ66_KIAA1598.pdf")</f>
        <v>Melting_Curves/meltCurve_A0MZ66_KIAA1598.pdf</v>
      </c>
    </row>
    <row r="5" spans="1:28" x14ac:dyDescent="0.25">
      <c r="A5" t="s">
        <v>9</v>
      </c>
      <c r="B5">
        <v>1</v>
      </c>
      <c r="C5">
        <v>0.887532047777008</v>
      </c>
      <c r="D5">
        <v>1.2766862294803101</v>
      </c>
      <c r="E5">
        <v>1.5279651028566601</v>
      </c>
      <c r="F5">
        <v>1.0983851565632601</v>
      </c>
      <c r="G5">
        <v>1.37328521610226</v>
      </c>
      <c r="H5">
        <v>0.75692292737457301</v>
      </c>
      <c r="I5">
        <v>1.1275106623409801</v>
      </c>
      <c r="J5">
        <v>1.1141933680846701</v>
      </c>
      <c r="K5">
        <v>1.0968055504927201</v>
      </c>
      <c r="L5">
        <v>11102.004928090701</v>
      </c>
      <c r="M5">
        <v>250</v>
      </c>
      <c r="O5">
        <v>44.4051534827504</v>
      </c>
      <c r="P5">
        <v>0.24134091116902801</v>
      </c>
      <c r="Q5">
        <v>1.1714685781049801</v>
      </c>
      <c r="R5">
        <v>0.167974100131593</v>
      </c>
      <c r="S5" t="s">
        <v>1879</v>
      </c>
      <c r="T5" t="s">
        <v>3746</v>
      </c>
      <c r="U5" t="s">
        <v>3746</v>
      </c>
      <c r="V5" t="s">
        <v>3746</v>
      </c>
      <c r="W5" t="s">
        <v>3751</v>
      </c>
      <c r="X5">
        <v>2</v>
      </c>
      <c r="Y5" t="s">
        <v>5608</v>
      </c>
      <c r="Z5" t="s">
        <v>7393</v>
      </c>
      <c r="AA5">
        <v>1.1462606522243419</v>
      </c>
      <c r="AB5" t="str">
        <f>HYPERLINK("Melting_Curves/meltCurve_A2A2D0_STMN1.pdf", "Melting_Curves/meltCurve_A2A2D0_STMN1.pdf")</f>
        <v>Melting_Curves/meltCurve_A2A2D0_STMN1.pdf</v>
      </c>
    </row>
    <row r="6" spans="1:28" x14ac:dyDescent="0.25">
      <c r="A6" t="s">
        <v>10</v>
      </c>
      <c r="B6">
        <v>1</v>
      </c>
      <c r="C6">
        <v>1.27782659337516</v>
      </c>
      <c r="D6">
        <v>1.9882706336718601</v>
      </c>
      <c r="E6">
        <v>2.4402803604634502</v>
      </c>
      <c r="F6">
        <v>2.0147127940004501</v>
      </c>
      <c r="G6">
        <v>2.0065594539918701</v>
      </c>
      <c r="H6">
        <v>1.52228375257985</v>
      </c>
      <c r="I6">
        <v>1.9448065880622001</v>
      </c>
      <c r="J6">
        <v>2.1071990518421599</v>
      </c>
      <c r="K6">
        <v>1.9419866358787801</v>
      </c>
      <c r="L6">
        <v>1.0000000000000001E-5</v>
      </c>
      <c r="M6">
        <v>28.188730211425099</v>
      </c>
      <c r="Q6">
        <v>1.5</v>
      </c>
      <c r="R6">
        <v>-0.63640518478647001</v>
      </c>
      <c r="S6" t="s">
        <v>1880</v>
      </c>
      <c r="T6" t="s">
        <v>3746</v>
      </c>
      <c r="U6" t="s">
        <v>3746</v>
      </c>
      <c r="V6" t="s">
        <v>3746</v>
      </c>
      <c r="W6" t="s">
        <v>3752</v>
      </c>
      <c r="X6">
        <v>1</v>
      </c>
      <c r="Y6" t="s">
        <v>5609</v>
      </c>
      <c r="Z6" t="s">
        <v>7394</v>
      </c>
      <c r="AA6">
        <v>1.499999999999714</v>
      </c>
      <c r="AB6" t="str">
        <f>HYPERLINK("Melting_Curves/meltCurve_A2A2U4_NQO2.pdf", "Melting_Curves/meltCurve_A2A2U4_NQO2.pdf")</f>
        <v>Melting_Curves/meltCurve_A2A2U4_NQO2.pdf</v>
      </c>
    </row>
    <row r="7" spans="1:28" x14ac:dyDescent="0.25">
      <c r="A7" t="s">
        <v>11</v>
      </c>
      <c r="B7">
        <v>1</v>
      </c>
      <c r="C7">
        <v>1.11134549600912</v>
      </c>
      <c r="D7">
        <v>1.4224819460281299</v>
      </c>
      <c r="E7">
        <v>1.7595020904598999</v>
      </c>
      <c r="F7">
        <v>1.1207145572025801</v>
      </c>
      <c r="G7">
        <v>1.35811478525276</v>
      </c>
      <c r="H7">
        <v>0.86337894336754095</v>
      </c>
      <c r="I7">
        <v>1.1360889395667</v>
      </c>
      <c r="J7">
        <v>1.1252185480805801</v>
      </c>
      <c r="K7">
        <v>1.04106803496769</v>
      </c>
      <c r="L7">
        <v>10727.116075755401</v>
      </c>
      <c r="M7">
        <v>250</v>
      </c>
      <c r="O7">
        <v>42.905698772011803</v>
      </c>
      <c r="P7">
        <v>0.33259112425364801</v>
      </c>
      <c r="Q7">
        <v>1.22832097864058</v>
      </c>
      <c r="R7">
        <v>9.1409779841339495E-2</v>
      </c>
      <c r="S7" t="s">
        <v>1881</v>
      </c>
      <c r="T7" t="s">
        <v>3746</v>
      </c>
      <c r="U7" t="s">
        <v>3746</v>
      </c>
      <c r="V7" t="s">
        <v>3746</v>
      </c>
      <c r="W7" t="s">
        <v>3753</v>
      </c>
      <c r="X7">
        <v>2</v>
      </c>
      <c r="Y7" t="s">
        <v>5610</v>
      </c>
      <c r="Z7" t="s">
        <v>7395</v>
      </c>
      <c r="AA7">
        <v>1.206168338014457</v>
      </c>
      <c r="AB7" t="str">
        <f>HYPERLINK("Melting_Curves/meltCurve_A2A2V1_PRNP.pdf", "Melting_Curves/meltCurve_A2A2V1_PRNP.pdf")</f>
        <v>Melting_Curves/meltCurve_A2A2V1_PRNP.pdf</v>
      </c>
    </row>
    <row r="8" spans="1:28" x14ac:dyDescent="0.25">
      <c r="A8" t="s">
        <v>12</v>
      </c>
      <c r="B8">
        <v>1</v>
      </c>
      <c r="C8">
        <v>1.0129449838187701</v>
      </c>
      <c r="D8">
        <v>1.2291801510248099</v>
      </c>
      <c r="E8">
        <v>1.4165587918015099</v>
      </c>
      <c r="F8">
        <v>0.93910463861920201</v>
      </c>
      <c r="G8">
        <v>1.1610032362459499</v>
      </c>
      <c r="H8">
        <v>0.87648327939590098</v>
      </c>
      <c r="I8">
        <v>0.95900755124056103</v>
      </c>
      <c r="J8">
        <v>1.0131067961164999</v>
      </c>
      <c r="K8">
        <v>0.91143473570657996</v>
      </c>
      <c r="L8">
        <v>1202.5872510859999</v>
      </c>
      <c r="M8">
        <v>14.679666622735599</v>
      </c>
      <c r="Q8">
        <v>0</v>
      </c>
      <c r="R8">
        <v>-7.6743193750873795E-2</v>
      </c>
      <c r="S8" t="s">
        <v>1882</v>
      </c>
      <c r="T8" t="s">
        <v>3746</v>
      </c>
      <c r="U8" t="s">
        <v>3746</v>
      </c>
      <c r="V8" t="s">
        <v>3746</v>
      </c>
      <c r="W8" t="s">
        <v>3754</v>
      </c>
      <c r="X8">
        <v>1</v>
      </c>
      <c r="Y8" t="s">
        <v>5611</v>
      </c>
      <c r="Z8" t="s">
        <v>7396</v>
      </c>
      <c r="AA8">
        <v>0.99037557269715926</v>
      </c>
      <c r="AB8" t="str">
        <f>HYPERLINK("Melting_Curves/meltCurve_A2A2V4_VEGFA.pdf", "Melting_Curves/meltCurve_A2A2V4_VEGFA.pdf")</f>
        <v>Melting_Curves/meltCurve_A2A2V4_VEGFA.pdf</v>
      </c>
    </row>
    <row r="9" spans="1:28" x14ac:dyDescent="0.25">
      <c r="A9" t="s">
        <v>13</v>
      </c>
      <c r="B9">
        <v>1</v>
      </c>
      <c r="C9">
        <v>1.2582084644652201</v>
      </c>
      <c r="D9">
        <v>1.8411855888017301</v>
      </c>
      <c r="E9">
        <v>2.2373995960355102</v>
      </c>
      <c r="F9">
        <v>1.1173375921837601</v>
      </c>
      <c r="G9">
        <v>1.09671661421391</v>
      </c>
      <c r="H9">
        <v>0.66461552914650801</v>
      </c>
      <c r="I9">
        <v>1.6841091643571799</v>
      </c>
      <c r="J9">
        <v>1.59843111466015</v>
      </c>
      <c r="K9">
        <v>1.5455399502090299</v>
      </c>
      <c r="L9">
        <v>10717.1354390541</v>
      </c>
      <c r="M9">
        <v>250</v>
      </c>
      <c r="O9">
        <v>42.8658063267331</v>
      </c>
      <c r="P9">
        <v>0.68989571490074098</v>
      </c>
      <c r="Q9">
        <v>1.47316689040042</v>
      </c>
      <c r="R9">
        <v>0.115425986468877</v>
      </c>
      <c r="S9" t="s">
        <v>1883</v>
      </c>
      <c r="T9" t="s">
        <v>3746</v>
      </c>
      <c r="U9" t="s">
        <v>3746</v>
      </c>
      <c r="V9" t="s">
        <v>3746</v>
      </c>
      <c r="W9" t="s">
        <v>3755</v>
      </c>
      <c r="X9">
        <v>1</v>
      </c>
      <c r="Y9" t="s">
        <v>5612</v>
      </c>
      <c r="Z9" t="s">
        <v>7397</v>
      </c>
      <c r="AA9">
        <v>1.4278879928766921</v>
      </c>
      <c r="AB9" t="str">
        <f>HYPERLINK("Melting_Curves/meltCurve_A2IBA6_LIPH.pdf", "Melting_Curves/meltCurve_A2IBA6_LIPH.pdf")</f>
        <v>Melting_Curves/meltCurve_A2IBA6_LIPH.pdf</v>
      </c>
    </row>
    <row r="10" spans="1:28" x14ac:dyDescent="0.25">
      <c r="A10" t="s">
        <v>14</v>
      </c>
      <c r="B10">
        <v>1</v>
      </c>
      <c r="C10">
        <v>1.1694983493034901</v>
      </c>
      <c r="D10">
        <v>1.1976407118125501</v>
      </c>
      <c r="E10">
        <v>1.3749496738867899</v>
      </c>
      <c r="F10">
        <v>1.1023834447217999</v>
      </c>
      <c r="G10">
        <v>1.3233754730654601</v>
      </c>
      <c r="H10">
        <v>0.66957887108462799</v>
      </c>
      <c r="I10">
        <v>0.97870198888799398</v>
      </c>
      <c r="J10">
        <v>0.984801513809485</v>
      </c>
      <c r="K10">
        <v>0.91833078347693098</v>
      </c>
      <c r="L10">
        <v>1909.25600542858</v>
      </c>
      <c r="M10">
        <v>31.9933647539603</v>
      </c>
      <c r="O10">
        <v>59.444926435350702</v>
      </c>
      <c r="P10">
        <v>-1.1474802611259299E-2</v>
      </c>
      <c r="Q10">
        <v>0.91471790150247401</v>
      </c>
      <c r="R10">
        <v>-7.3082518260963306E-2</v>
      </c>
      <c r="S10" t="s">
        <v>1884</v>
      </c>
      <c r="T10" t="s">
        <v>3746</v>
      </c>
      <c r="U10" t="s">
        <v>3746</v>
      </c>
      <c r="V10" t="s">
        <v>3746</v>
      </c>
      <c r="W10" t="s">
        <v>3756</v>
      </c>
      <c r="X10">
        <v>2</v>
      </c>
      <c r="Y10" t="s">
        <v>5613</v>
      </c>
      <c r="Z10" t="s">
        <v>7398</v>
      </c>
      <c r="AA10">
        <v>0.97113596265843249</v>
      </c>
      <c r="AB10" t="str">
        <f>HYPERLINK("Melting_Curves/meltCurve_A3KFI5_NBL1.pdf", "Melting_Curves/meltCurve_A3KFI5_NBL1.pdf")</f>
        <v>Melting_Curves/meltCurve_A3KFI5_NBL1.pdf</v>
      </c>
    </row>
    <row r="11" spans="1:28" x14ac:dyDescent="0.25">
      <c r="A11" t="s">
        <v>15</v>
      </c>
      <c r="B11">
        <v>1</v>
      </c>
      <c r="C11">
        <v>0.99537601952347299</v>
      </c>
      <c r="D11">
        <v>1.91875923190547</v>
      </c>
      <c r="E11">
        <v>2.7909575492903498</v>
      </c>
      <c r="F11">
        <v>2.1947209556226301</v>
      </c>
      <c r="G11">
        <v>2.6361826472288201</v>
      </c>
      <c r="H11">
        <v>1.71954273970843</v>
      </c>
      <c r="I11">
        <v>2.4638751525271299</v>
      </c>
      <c r="J11">
        <v>2.49823389634577</v>
      </c>
      <c r="K11">
        <v>2.2708881895832</v>
      </c>
      <c r="L11">
        <v>11003.607962966</v>
      </c>
      <c r="M11">
        <v>250</v>
      </c>
      <c r="O11">
        <v>44.011605057898102</v>
      </c>
      <c r="P11">
        <v>0.71003983503496904</v>
      </c>
      <c r="Q11">
        <v>1.5</v>
      </c>
      <c r="R11">
        <v>-0.68226056454987505</v>
      </c>
      <c r="S11" t="s">
        <v>1885</v>
      </c>
      <c r="T11" t="s">
        <v>3746</v>
      </c>
      <c r="U11" t="s">
        <v>3746</v>
      </c>
      <c r="V11" t="s">
        <v>3746</v>
      </c>
      <c r="W11" t="s">
        <v>3757</v>
      </c>
      <c r="X11">
        <v>6</v>
      </c>
      <c r="Y11" t="s">
        <v>5614</v>
      </c>
      <c r="Z11" t="s">
        <v>7399</v>
      </c>
      <c r="AA11">
        <v>1.433054180147461</v>
      </c>
      <c r="AB11" t="str">
        <f>HYPERLINK("Melting_Curves/meltCurve_A6NF51_BPNT1.pdf", "Melting_Curves/meltCurve_A6NF51_BPNT1.pdf")</f>
        <v>Melting_Curves/meltCurve_A6NF51_BPNT1.pdf</v>
      </c>
    </row>
    <row r="12" spans="1:28" x14ac:dyDescent="0.25">
      <c r="A12" t="s">
        <v>16</v>
      </c>
      <c r="B12">
        <v>1</v>
      </c>
      <c r="C12">
        <v>1.45323977634031</v>
      </c>
      <c r="D12">
        <v>1.8010634798815901</v>
      </c>
      <c r="E12">
        <v>3.4753864707817099</v>
      </c>
      <c r="F12">
        <v>2.3652560026312899</v>
      </c>
      <c r="G12">
        <v>2.7546321675254899</v>
      </c>
      <c r="H12">
        <v>1.6212038153711199</v>
      </c>
      <c r="I12">
        <v>2.3427803968863099</v>
      </c>
      <c r="J12">
        <v>2.52943756167087</v>
      </c>
      <c r="K12">
        <v>2.4410700581076599</v>
      </c>
      <c r="L12">
        <v>10627.5574274926</v>
      </c>
      <c r="M12">
        <v>250</v>
      </c>
      <c r="O12">
        <v>42.507485837918097</v>
      </c>
      <c r="P12">
        <v>0.73516421861738601</v>
      </c>
      <c r="Q12">
        <v>1.5</v>
      </c>
      <c r="R12">
        <v>-0.93840489737759902</v>
      </c>
      <c r="S12" t="s">
        <v>1886</v>
      </c>
      <c r="T12" t="s">
        <v>3746</v>
      </c>
      <c r="U12" t="s">
        <v>3746</v>
      </c>
      <c r="V12" t="s">
        <v>3746</v>
      </c>
      <c r="W12" t="s">
        <v>3758</v>
      </c>
      <c r="X12">
        <v>2</v>
      </c>
      <c r="Y12" t="s">
        <v>5615</v>
      </c>
      <c r="Z12" t="s">
        <v>7400</v>
      </c>
      <c r="AA12">
        <v>1.458125535388856</v>
      </c>
      <c r="AB12" t="str">
        <f>HYPERLINK("Melting_Curves/meltCurve_A6NG51_SPTAN1.pdf", "Melting_Curves/meltCurve_A6NG51_SPTAN1.pdf")</f>
        <v>Melting_Curves/meltCurve_A6NG51_SPTAN1.pdf</v>
      </c>
    </row>
    <row r="13" spans="1:28" x14ac:dyDescent="0.25">
      <c r="A13" t="s">
        <v>17</v>
      </c>
      <c r="B13">
        <v>1</v>
      </c>
      <c r="C13">
        <v>0.90691210532731903</v>
      </c>
      <c r="D13">
        <v>1.28257954406924</v>
      </c>
      <c r="E13">
        <v>1.15579665975862</v>
      </c>
      <c r="F13">
        <v>0.85374862855053002</v>
      </c>
      <c r="G13">
        <v>1.0551505546751201</v>
      </c>
      <c r="H13">
        <v>0.39487992197976401</v>
      </c>
      <c r="I13">
        <v>0.83456052663659597</v>
      </c>
      <c r="J13">
        <v>0.78819943922955005</v>
      </c>
      <c r="K13">
        <v>0.75782030964281399</v>
      </c>
      <c r="L13">
        <v>14684.8002612525</v>
      </c>
      <c r="M13">
        <v>250</v>
      </c>
      <c r="O13">
        <v>58.735443038571603</v>
      </c>
      <c r="P13">
        <v>-0.32574922485693902</v>
      </c>
      <c r="Q13">
        <v>0.69387160445220497</v>
      </c>
      <c r="R13">
        <v>0.51967344524119896</v>
      </c>
      <c r="S13" t="s">
        <v>1887</v>
      </c>
      <c r="T13" t="s">
        <v>3746</v>
      </c>
      <c r="U13" t="s">
        <v>3746</v>
      </c>
      <c r="V13" t="s">
        <v>3746</v>
      </c>
      <c r="W13" t="s">
        <v>3759</v>
      </c>
      <c r="X13">
        <v>2</v>
      </c>
      <c r="Y13" t="s">
        <v>5616</v>
      </c>
      <c r="Z13" t="s">
        <v>7401</v>
      </c>
      <c r="AA13">
        <v>0.88512321377998371</v>
      </c>
      <c r="AB13" t="str">
        <f>HYPERLINK("Melting_Curves/meltCurve_A6NJ16_IGHV4OR15_8.pdf", "Melting_Curves/meltCurve_A6NJ16_IGHV4OR15_8.pdf")</f>
        <v>Melting_Curves/meltCurve_A6NJ16_IGHV4OR15_8.pdf</v>
      </c>
    </row>
    <row r="14" spans="1:28" x14ac:dyDescent="0.25">
      <c r="A14" t="s">
        <v>18</v>
      </c>
      <c r="B14">
        <v>1</v>
      </c>
      <c r="C14">
        <v>0.93430535798956804</v>
      </c>
      <c r="D14">
        <v>1.3953295400663801</v>
      </c>
      <c r="E14">
        <v>1.9231863442389801</v>
      </c>
      <c r="F14">
        <v>1.3187529634898101</v>
      </c>
      <c r="G14">
        <v>1.9349217638691301</v>
      </c>
      <c r="H14">
        <v>1.0533665244191599</v>
      </c>
      <c r="I14">
        <v>2.02133712660028</v>
      </c>
      <c r="J14">
        <v>1.51137980085349</v>
      </c>
      <c r="K14">
        <v>1.4632527264106201</v>
      </c>
      <c r="L14">
        <v>11438.870486502899</v>
      </c>
      <c r="M14">
        <v>250</v>
      </c>
      <c r="O14">
        <v>45.752553920137402</v>
      </c>
      <c r="P14">
        <v>0.68302198180781404</v>
      </c>
      <c r="Q14">
        <v>1.5</v>
      </c>
      <c r="R14">
        <v>0.38807581376599198</v>
      </c>
      <c r="S14" t="s">
        <v>1888</v>
      </c>
      <c r="T14" t="s">
        <v>3746</v>
      </c>
      <c r="U14" t="s">
        <v>3746</v>
      </c>
      <c r="V14" t="s">
        <v>3746</v>
      </c>
      <c r="W14" t="s">
        <v>3760</v>
      </c>
      <c r="X14">
        <v>3</v>
      </c>
      <c r="Y14" t="s">
        <v>5617</v>
      </c>
      <c r="Z14" t="s">
        <v>7402</v>
      </c>
      <c r="AA14">
        <v>1.404035150820452</v>
      </c>
      <c r="AB14" t="str">
        <f>HYPERLINK("Melting_Curves/meltCurve_A6NJA2_USP14.pdf", "Melting_Curves/meltCurve_A6NJA2_USP14.pdf")</f>
        <v>Melting_Curves/meltCurve_A6NJA2_USP14.pdf</v>
      </c>
    </row>
    <row r="15" spans="1:28" x14ac:dyDescent="0.25">
      <c r="A15" t="s">
        <v>19</v>
      </c>
      <c r="B15">
        <v>1</v>
      </c>
      <c r="C15">
        <v>1.19846508759508</v>
      </c>
      <c r="D15">
        <v>1.52223567300884</v>
      </c>
      <c r="E15">
        <v>2.2637673876795898</v>
      </c>
      <c r="F15">
        <v>2.6333340946986099</v>
      </c>
      <c r="G15">
        <v>2.0297617688038199</v>
      </c>
      <c r="H15">
        <v>1.5379959343094001</v>
      </c>
      <c r="I15">
        <v>2.6363034192914698</v>
      </c>
      <c r="J15">
        <v>3.2447865512436902</v>
      </c>
      <c r="K15">
        <v>2.4874945752723798</v>
      </c>
      <c r="S15" t="s">
        <v>1889</v>
      </c>
      <c r="T15" t="s">
        <v>3746</v>
      </c>
      <c r="U15" t="s">
        <v>3747</v>
      </c>
      <c r="V15" t="s">
        <v>3746</v>
      </c>
      <c r="W15" t="s">
        <v>3761</v>
      </c>
      <c r="X15">
        <v>2</v>
      </c>
      <c r="Y15" t="s">
        <v>5618</v>
      </c>
      <c r="Z15" t="s">
        <v>7403</v>
      </c>
      <c r="AB15" t="str">
        <f>HYPERLINK("Melting_Curves/meltCurve_A6NJH9_EIF1AY.pdf", "Melting_Curves/meltCurve_A6NJH9_EIF1AY.pdf")</f>
        <v>Melting_Curves/meltCurve_A6NJH9_EIF1AY.pdf</v>
      </c>
    </row>
    <row r="16" spans="1:28" x14ac:dyDescent="0.25">
      <c r="A16" t="s">
        <v>20</v>
      </c>
      <c r="B16">
        <v>1</v>
      </c>
      <c r="C16">
        <v>1.0907126981159501</v>
      </c>
      <c r="D16">
        <v>1.4842441993311299</v>
      </c>
      <c r="E16">
        <v>1.7635279699216899</v>
      </c>
      <c r="F16">
        <v>1.37772376975966</v>
      </c>
      <c r="G16">
        <v>1.60792256081095</v>
      </c>
      <c r="H16">
        <v>0.42244656322053997</v>
      </c>
      <c r="I16">
        <v>1.32949045512141</v>
      </c>
      <c r="J16">
        <v>1.1989780021187799</v>
      </c>
      <c r="K16">
        <v>1.1822770611329201</v>
      </c>
      <c r="L16">
        <v>10760.0006247373</v>
      </c>
      <c r="M16">
        <v>250</v>
      </c>
      <c r="O16">
        <v>43.037228041856402</v>
      </c>
      <c r="P16">
        <v>0.42960797379298699</v>
      </c>
      <c r="Q16">
        <v>1.2958263207867899</v>
      </c>
      <c r="R16">
        <v>8.3656379137338699E-2</v>
      </c>
      <c r="S16" t="s">
        <v>1890</v>
      </c>
      <c r="T16" t="s">
        <v>3746</v>
      </c>
      <c r="U16" t="s">
        <v>3746</v>
      </c>
      <c r="V16" t="s">
        <v>3746</v>
      </c>
      <c r="W16" t="s">
        <v>3762</v>
      </c>
      <c r="X16">
        <v>2</v>
      </c>
      <c r="Y16" t="s">
        <v>5619</v>
      </c>
      <c r="Z16" t="s">
        <v>7404</v>
      </c>
      <c r="AA16">
        <v>1.265826883860298</v>
      </c>
      <c r="AB16" t="str">
        <f>HYPERLINK("Melting_Curves/meltCurve_A6NJU6_NUDT5.pdf", "Melting_Curves/meltCurve_A6NJU6_NUDT5.pdf")</f>
        <v>Melting_Curves/meltCurve_A6NJU6_NUDT5.pdf</v>
      </c>
    </row>
    <row r="17" spans="1:28" x14ac:dyDescent="0.25">
      <c r="A17" t="s">
        <v>21</v>
      </c>
      <c r="B17">
        <v>1</v>
      </c>
      <c r="C17">
        <v>1.1827100452792201</v>
      </c>
      <c r="D17">
        <v>1.76547040080496</v>
      </c>
      <c r="E17">
        <v>2.1692101291296302</v>
      </c>
      <c r="F17">
        <v>2.25540835150092</v>
      </c>
      <c r="G17">
        <v>2.6308904913634099</v>
      </c>
      <c r="H17">
        <v>1.6719771926882401</v>
      </c>
      <c r="I17">
        <v>3.03722958242495</v>
      </c>
      <c r="J17">
        <v>2.3842864330035201</v>
      </c>
      <c r="K17">
        <v>2.3657554922019099</v>
      </c>
      <c r="L17">
        <v>10748.6771590401</v>
      </c>
      <c r="M17">
        <v>250</v>
      </c>
      <c r="O17">
        <v>42.991957248005498</v>
      </c>
      <c r="P17">
        <v>0.72688014289861602</v>
      </c>
      <c r="Q17">
        <v>1.5</v>
      </c>
      <c r="R17">
        <v>-0.71991934838072902</v>
      </c>
      <c r="S17" t="s">
        <v>1891</v>
      </c>
      <c r="T17" t="s">
        <v>3746</v>
      </c>
      <c r="U17" t="s">
        <v>3746</v>
      </c>
      <c r="V17" t="s">
        <v>3746</v>
      </c>
      <c r="W17" t="s">
        <v>3763</v>
      </c>
      <c r="X17">
        <v>15</v>
      </c>
      <c r="Y17" t="s">
        <v>5620</v>
      </c>
      <c r="Z17" t="s">
        <v>7405</v>
      </c>
      <c r="AA17">
        <v>1.4500504618567589</v>
      </c>
      <c r="AB17" t="str">
        <f>HYPERLINK("Melting_Curves/meltCurve_A6NKB8_RNPEP.pdf", "Melting_Curves/meltCurve_A6NKB8_RNPEP.pdf")</f>
        <v>Melting_Curves/meltCurve_A6NKB8_RNPEP.pdf</v>
      </c>
    </row>
    <row r="18" spans="1:28" x14ac:dyDescent="0.25">
      <c r="A18" t="s">
        <v>22</v>
      </c>
      <c r="B18">
        <v>1</v>
      </c>
      <c r="C18">
        <v>0.80408516531071506</v>
      </c>
      <c r="D18">
        <v>1.2343430846460099</v>
      </c>
      <c r="E18">
        <v>1.24237493508742</v>
      </c>
      <c r="F18">
        <v>0.76479141422883801</v>
      </c>
      <c r="G18">
        <v>0.84947204431365797</v>
      </c>
      <c r="H18">
        <v>0.53207547169811298</v>
      </c>
      <c r="I18">
        <v>0.87124805262246796</v>
      </c>
      <c r="J18">
        <v>0.852553228319197</v>
      </c>
      <c r="K18">
        <v>0.77303098494028</v>
      </c>
      <c r="L18">
        <v>12948.5026894407</v>
      </c>
      <c r="M18">
        <v>250</v>
      </c>
      <c r="O18">
        <v>51.790696749941297</v>
      </c>
      <c r="P18">
        <v>-0.27303977506655602</v>
      </c>
      <c r="Q18">
        <v>0.77374527923945702</v>
      </c>
      <c r="R18">
        <v>0.45155093205060398</v>
      </c>
      <c r="S18" t="s">
        <v>1892</v>
      </c>
      <c r="T18" t="s">
        <v>3746</v>
      </c>
      <c r="U18" t="s">
        <v>3746</v>
      </c>
      <c r="V18" t="s">
        <v>3746</v>
      </c>
      <c r="W18" t="s">
        <v>3764</v>
      </c>
      <c r="X18">
        <v>3</v>
      </c>
      <c r="Y18" t="s">
        <v>5621</v>
      </c>
      <c r="Z18" t="s">
        <v>7406</v>
      </c>
      <c r="AA18">
        <v>0.86271419895744283</v>
      </c>
      <c r="AB18" t="str">
        <f>HYPERLINK("Melting_Curves/meltCurve_A6NMQ3_ENSA.pdf", "Melting_Curves/meltCurve_A6NMQ3_ENSA.pdf")</f>
        <v>Melting_Curves/meltCurve_A6NMQ3_ENSA.pdf</v>
      </c>
    </row>
    <row r="19" spans="1:28" x14ac:dyDescent="0.25">
      <c r="A19" t="s">
        <v>23</v>
      </c>
      <c r="B19">
        <v>1</v>
      </c>
      <c r="C19">
        <v>0.96889346208643301</v>
      </c>
      <c r="D19">
        <v>1.4370745607091999</v>
      </c>
      <c r="E19">
        <v>1.6664555960107601</v>
      </c>
      <c r="F19">
        <v>1.28819059680228</v>
      </c>
      <c r="G19">
        <v>0.80750356181731797</v>
      </c>
      <c r="H19">
        <v>0.84288428051290198</v>
      </c>
      <c r="I19">
        <v>0.99659648567357895</v>
      </c>
      <c r="J19">
        <v>1.1814152287478199</v>
      </c>
      <c r="K19">
        <v>1.0401298084533801</v>
      </c>
      <c r="L19">
        <v>15000</v>
      </c>
      <c r="M19">
        <v>230.42543847861199</v>
      </c>
      <c r="O19">
        <v>65.0920794202883</v>
      </c>
      <c r="P19">
        <v>9.8014889451549195E-2</v>
      </c>
      <c r="Q19">
        <v>1.11075153238844</v>
      </c>
      <c r="R19">
        <v>-0.19051316795315301</v>
      </c>
      <c r="S19" t="s">
        <v>1893</v>
      </c>
      <c r="T19" t="s">
        <v>3746</v>
      </c>
      <c r="U19" t="s">
        <v>3746</v>
      </c>
      <c r="V19" t="s">
        <v>3746</v>
      </c>
      <c r="W19" t="s">
        <v>3765</v>
      </c>
      <c r="X19">
        <v>3</v>
      </c>
      <c r="Y19" t="s">
        <v>5622</v>
      </c>
      <c r="Z19" t="s">
        <v>7407</v>
      </c>
      <c r="AA19">
        <v>1.018085674330945</v>
      </c>
      <c r="AB19" t="str">
        <f>HYPERLINK("Melting_Curves/meltCurve_A6NNI4_CD9.pdf", "Melting_Curves/meltCurve_A6NNI4_CD9.pdf")</f>
        <v>Melting_Curves/meltCurve_A6NNI4_CD9.pdf</v>
      </c>
    </row>
    <row r="20" spans="1:28" x14ac:dyDescent="0.25">
      <c r="A20" t="s">
        <v>24</v>
      </c>
      <c r="B20">
        <v>1</v>
      </c>
      <c r="C20">
        <v>0.93459126126601</v>
      </c>
      <c r="D20">
        <v>1.1016971485795599</v>
      </c>
      <c r="E20">
        <v>1.24368839930427</v>
      </c>
      <c r="F20">
        <v>1.0977705159964199</v>
      </c>
      <c r="G20">
        <v>1.2478785642755501</v>
      </c>
      <c r="H20">
        <v>0.90254572286934098</v>
      </c>
      <c r="I20">
        <v>1.16217783165551</v>
      </c>
      <c r="J20">
        <v>0.88259632108786201</v>
      </c>
      <c r="K20">
        <v>0.96993095451431</v>
      </c>
      <c r="L20">
        <v>1899.4266408301301</v>
      </c>
      <c r="M20">
        <v>27.589124393469401</v>
      </c>
      <c r="O20">
        <v>68.488279454678604</v>
      </c>
      <c r="P20">
        <v>-7.5022950924570498E-3</v>
      </c>
      <c r="Q20">
        <v>0.92550476840562301</v>
      </c>
      <c r="R20">
        <v>-0.15810975515551001</v>
      </c>
      <c r="S20" t="s">
        <v>1894</v>
      </c>
      <c r="T20" t="s">
        <v>3746</v>
      </c>
      <c r="U20" t="s">
        <v>3746</v>
      </c>
      <c r="V20" t="s">
        <v>3746</v>
      </c>
      <c r="W20" t="s">
        <v>3766</v>
      </c>
      <c r="X20">
        <v>1</v>
      </c>
      <c r="Y20" t="s">
        <v>5623</v>
      </c>
      <c r="Z20" t="s">
        <v>7408</v>
      </c>
      <c r="AA20">
        <v>0.99444214846983359</v>
      </c>
      <c r="AB20" t="str">
        <f>HYPERLINK("Melting_Curves/meltCurve_A6PVX3_PSMD4.pdf", "Melting_Curves/meltCurve_A6PVX3_PSMD4.pdf")</f>
        <v>Melting_Curves/meltCurve_A6PVX3_PSMD4.pdf</v>
      </c>
    </row>
    <row r="21" spans="1:28" x14ac:dyDescent="0.25">
      <c r="A21" t="s">
        <v>25</v>
      </c>
      <c r="B21">
        <v>1</v>
      </c>
      <c r="C21">
        <v>0.89749680248492603</v>
      </c>
      <c r="D21">
        <v>1.4935745173274899</v>
      </c>
      <c r="E21">
        <v>1.2762043973445401</v>
      </c>
      <c r="F21">
        <v>0.86491260125464398</v>
      </c>
      <c r="G21">
        <v>1.1849077288507199</v>
      </c>
      <c r="H21">
        <v>0.57420671173640303</v>
      </c>
      <c r="I21">
        <v>0.88817832998355595</v>
      </c>
      <c r="J21">
        <v>0.81064620257019304</v>
      </c>
      <c r="K21">
        <v>0.89956757415189703</v>
      </c>
      <c r="L21">
        <v>9347.3555686869604</v>
      </c>
      <c r="M21">
        <v>158.74121710291101</v>
      </c>
      <c r="O21">
        <v>58.8748820884365</v>
      </c>
      <c r="P21">
        <v>-0.137898529151251</v>
      </c>
      <c r="Q21">
        <v>0.79542147303203603</v>
      </c>
      <c r="R21">
        <v>0.27221179133976797</v>
      </c>
      <c r="S21" t="s">
        <v>1895</v>
      </c>
      <c r="T21" t="s">
        <v>3746</v>
      </c>
      <c r="U21" t="s">
        <v>3746</v>
      </c>
      <c r="V21" t="s">
        <v>3746</v>
      </c>
      <c r="W21" t="s">
        <v>3767</v>
      </c>
      <c r="X21">
        <v>1</v>
      </c>
      <c r="Y21" t="s">
        <v>5624</v>
      </c>
      <c r="Z21" t="s">
        <v>7409</v>
      </c>
      <c r="AA21">
        <v>0.92425091136206938</v>
      </c>
      <c r="AB21" t="str">
        <f>HYPERLINK("Melting_Curves/meltCurve_A6QRH7_FAM3A.pdf", "Melting_Curves/meltCurve_A6QRH7_FAM3A.pdf")</f>
        <v>Melting_Curves/meltCurve_A6QRH7_FAM3A.pdf</v>
      </c>
    </row>
    <row r="22" spans="1:28" x14ac:dyDescent="0.25">
      <c r="A22" t="s">
        <v>26</v>
      </c>
      <c r="B22">
        <v>1</v>
      </c>
      <c r="C22">
        <v>0.98400020479737904</v>
      </c>
      <c r="D22">
        <v>1.60412666717866</v>
      </c>
      <c r="E22">
        <v>2.3271382126308802</v>
      </c>
      <c r="F22">
        <v>1.63387348641937</v>
      </c>
      <c r="G22">
        <v>2.3870926452141399</v>
      </c>
      <c r="H22">
        <v>1.7317154340424401</v>
      </c>
      <c r="I22">
        <v>3.0015615800117801</v>
      </c>
      <c r="J22">
        <v>3.0233213014873401</v>
      </c>
      <c r="K22">
        <v>2.6989734531398</v>
      </c>
      <c r="L22">
        <v>11059.077062651</v>
      </c>
      <c r="M22">
        <v>250</v>
      </c>
      <c r="O22">
        <v>44.233477943674004</v>
      </c>
      <c r="P22">
        <v>0.70647848324557605</v>
      </c>
      <c r="Q22">
        <v>1.5</v>
      </c>
      <c r="R22">
        <v>-0.46202737209947797</v>
      </c>
      <c r="S22" t="s">
        <v>1896</v>
      </c>
      <c r="T22" t="s">
        <v>3746</v>
      </c>
      <c r="U22" t="s">
        <v>3746</v>
      </c>
      <c r="V22" t="s">
        <v>3746</v>
      </c>
      <c r="W22" t="s">
        <v>3768</v>
      </c>
      <c r="X22">
        <v>2</v>
      </c>
      <c r="Y22" t="s">
        <v>5625</v>
      </c>
      <c r="Z22" t="s">
        <v>7410</v>
      </c>
      <c r="AA22">
        <v>1.4293560454736689</v>
      </c>
      <c r="AB22" t="str">
        <f>HYPERLINK("Melting_Curves/meltCurve_A8CZ64_MAPK1.pdf", "Melting_Curves/meltCurve_A8CZ64_MAPK1.pdf")</f>
        <v>Melting_Curves/meltCurve_A8CZ64_MAPK1.pdf</v>
      </c>
    </row>
    <row r="23" spans="1:28" x14ac:dyDescent="0.25">
      <c r="A23" t="s">
        <v>27</v>
      </c>
      <c r="B23">
        <v>1</v>
      </c>
      <c r="C23">
        <v>1.04107268877911</v>
      </c>
      <c r="D23">
        <v>1.48122794636556</v>
      </c>
      <c r="E23">
        <v>1.80522230063514</v>
      </c>
      <c r="F23">
        <v>1.3577981651376101</v>
      </c>
      <c r="G23">
        <v>1.62900494001411</v>
      </c>
      <c r="H23">
        <v>0.89604798870853897</v>
      </c>
      <c r="I23">
        <v>1.61023288637968</v>
      </c>
      <c r="J23">
        <v>1.60663373323924</v>
      </c>
      <c r="K23">
        <v>1.4927311220889199</v>
      </c>
      <c r="L23">
        <v>4584.1396000160203</v>
      </c>
      <c r="M23">
        <v>104.474961042652</v>
      </c>
      <c r="O23">
        <v>43.861807083616</v>
      </c>
      <c r="P23">
        <v>0.28901430161075498</v>
      </c>
      <c r="Q23">
        <v>1.48534841750562</v>
      </c>
      <c r="R23">
        <v>0.40086291904873</v>
      </c>
      <c r="S23" t="s">
        <v>1897</v>
      </c>
      <c r="T23" t="s">
        <v>3746</v>
      </c>
      <c r="U23" t="s">
        <v>3746</v>
      </c>
      <c r="V23" t="s">
        <v>3746</v>
      </c>
      <c r="W23" t="s">
        <v>3769</v>
      </c>
      <c r="X23">
        <v>7</v>
      </c>
      <c r="Y23" t="s">
        <v>5626</v>
      </c>
      <c r="Z23" t="s">
        <v>7411</v>
      </c>
      <c r="AA23">
        <v>1.4223965653670829</v>
      </c>
      <c r="AB23" t="str">
        <f>HYPERLINK("Melting_Curves/meltCurve_A8MTF8_FAM3B.pdf", "Melting_Curves/meltCurve_A8MTF8_FAM3B.pdf")</f>
        <v>Melting_Curves/meltCurve_A8MTF8_FAM3B.pdf</v>
      </c>
    </row>
    <row r="24" spans="1:28" x14ac:dyDescent="0.25">
      <c r="A24" t="s">
        <v>28</v>
      </c>
      <c r="B24">
        <v>1</v>
      </c>
      <c r="C24">
        <v>0.87189137268599404</v>
      </c>
      <c r="D24">
        <v>1.7825707300034901</v>
      </c>
      <c r="E24">
        <v>2.2539294446384899</v>
      </c>
      <c r="F24">
        <v>1.8504191407614401</v>
      </c>
      <c r="G24">
        <v>2.3987949703108602</v>
      </c>
      <c r="H24">
        <v>1.25611246943765</v>
      </c>
      <c r="I24">
        <v>2.3439573873559199</v>
      </c>
      <c r="J24">
        <v>2.21524624519735</v>
      </c>
      <c r="K24">
        <v>2.3097275585050601</v>
      </c>
      <c r="S24" t="s">
        <v>1898</v>
      </c>
      <c r="T24" t="s">
        <v>3746</v>
      </c>
      <c r="U24" t="s">
        <v>3747</v>
      </c>
      <c r="V24" t="s">
        <v>3746</v>
      </c>
      <c r="W24" t="s">
        <v>3770</v>
      </c>
      <c r="X24">
        <v>1</v>
      </c>
      <c r="Y24" t="s">
        <v>5627</v>
      </c>
      <c r="Z24" t="s">
        <v>7412</v>
      </c>
      <c r="AB24" t="str">
        <f>HYPERLINK("Melting_Curves/meltCurve_A8MU39_PPP5C.pdf", "Melting_Curves/meltCurve_A8MU39_PPP5C.pdf")</f>
        <v>Melting_Curves/meltCurve_A8MU39_PPP5C.pdf</v>
      </c>
    </row>
    <row r="25" spans="1:28" x14ac:dyDescent="0.25">
      <c r="A25" t="s">
        <v>29</v>
      </c>
      <c r="B25">
        <v>1</v>
      </c>
      <c r="C25">
        <v>1.00556354026612</v>
      </c>
      <c r="D25">
        <v>1.34317770874867</v>
      </c>
      <c r="E25">
        <v>2.18943854606148</v>
      </c>
      <c r="F25">
        <v>1.5318280866057801</v>
      </c>
      <c r="G25">
        <v>1.8638787148222</v>
      </c>
      <c r="H25">
        <v>1.24451759469609</v>
      </c>
      <c r="I25">
        <v>1.6727247438453301</v>
      </c>
      <c r="J25">
        <v>1.7801937966526</v>
      </c>
      <c r="K25">
        <v>1.7967916917798701</v>
      </c>
      <c r="L25">
        <v>11463.975781266199</v>
      </c>
      <c r="M25">
        <v>250</v>
      </c>
      <c r="O25">
        <v>45.852970201778597</v>
      </c>
      <c r="P25">
        <v>0.68152621204623798</v>
      </c>
      <c r="Q25">
        <v>1.5</v>
      </c>
      <c r="R25">
        <v>0.36516164518271799</v>
      </c>
      <c r="S25" t="s">
        <v>1899</v>
      </c>
      <c r="T25" t="s">
        <v>3746</v>
      </c>
      <c r="U25" t="s">
        <v>3746</v>
      </c>
      <c r="V25" t="s">
        <v>3746</v>
      </c>
      <c r="W25" t="s">
        <v>3771</v>
      </c>
      <c r="X25">
        <v>1</v>
      </c>
      <c r="Y25" t="s">
        <v>5628</v>
      </c>
      <c r="Z25" t="s">
        <v>7413</v>
      </c>
      <c r="AA25">
        <v>1.402361376384099</v>
      </c>
      <c r="AB25" t="str">
        <f>HYPERLINK("Melting_Curves/meltCurve_A8MU44_HOOK1.pdf", "Melting_Curves/meltCurve_A8MU44_HOOK1.pdf")</f>
        <v>Melting_Curves/meltCurve_A8MU44_HOOK1.pdf</v>
      </c>
    </row>
    <row r="26" spans="1:28" x14ac:dyDescent="0.25">
      <c r="A26" t="s">
        <v>30</v>
      </c>
      <c r="B26">
        <v>1</v>
      </c>
      <c r="C26">
        <v>1.2544262295082</v>
      </c>
      <c r="D26">
        <v>1.7985011709601899</v>
      </c>
      <c r="E26">
        <v>1.70491803278689</v>
      </c>
      <c r="F26">
        <v>1.5678688524590201</v>
      </c>
      <c r="G26">
        <v>1.9091334894613601</v>
      </c>
      <c r="H26">
        <v>1.1037002341920401</v>
      </c>
      <c r="I26">
        <v>1.9298360655737701</v>
      </c>
      <c r="J26">
        <v>1.64384074941452</v>
      </c>
      <c r="K26">
        <v>1.5901639344262299</v>
      </c>
      <c r="L26">
        <v>10723.480735515701</v>
      </c>
      <c r="M26">
        <v>250</v>
      </c>
      <c r="O26">
        <v>42.891178027443303</v>
      </c>
      <c r="P26">
        <v>0.72858805662398396</v>
      </c>
      <c r="Q26">
        <v>1.5</v>
      </c>
      <c r="R26">
        <v>0.297319550019783</v>
      </c>
      <c r="S26" t="s">
        <v>1900</v>
      </c>
      <c r="T26" t="s">
        <v>3746</v>
      </c>
      <c r="U26" t="s">
        <v>3746</v>
      </c>
      <c r="V26" t="s">
        <v>3746</v>
      </c>
      <c r="W26" t="s">
        <v>3772</v>
      </c>
      <c r="X26">
        <v>8</v>
      </c>
      <c r="Y26" t="s">
        <v>5629</v>
      </c>
      <c r="Z26" t="s">
        <v>7414</v>
      </c>
      <c r="AA26">
        <v>1.451730311847566</v>
      </c>
      <c r="AB26" t="str">
        <f>HYPERLINK("Melting_Curves/meltCurve_A8MUB1_TUBA4A.pdf", "Melting_Curves/meltCurve_A8MUB1_TUBA4A.pdf")</f>
        <v>Melting_Curves/meltCurve_A8MUB1_TUBA4A.pdf</v>
      </c>
    </row>
    <row r="27" spans="1:28" x14ac:dyDescent="0.25">
      <c r="A27" t="s">
        <v>31</v>
      </c>
      <c r="B27">
        <v>1</v>
      </c>
      <c r="C27">
        <v>0.96463248981234595</v>
      </c>
      <c r="D27">
        <v>1.4664687830155501</v>
      </c>
      <c r="E27">
        <v>1.95200482970267</v>
      </c>
      <c r="F27">
        <v>1.6006942697590201</v>
      </c>
      <c r="G27">
        <v>2.3007496101021299</v>
      </c>
      <c r="H27">
        <v>1.5116466267545401</v>
      </c>
      <c r="I27">
        <v>2.48890677667656</v>
      </c>
      <c r="J27">
        <v>2.13669064748201</v>
      </c>
      <c r="K27">
        <v>1.90939276550787</v>
      </c>
      <c r="L27">
        <v>11378.8953573572</v>
      </c>
      <c r="M27">
        <v>250</v>
      </c>
      <c r="O27">
        <v>45.512669082906399</v>
      </c>
      <c r="P27">
        <v>0.68662200889963698</v>
      </c>
      <c r="Q27">
        <v>1.5</v>
      </c>
      <c r="R27">
        <v>-2.8951912214496599E-3</v>
      </c>
      <c r="S27" t="s">
        <v>1901</v>
      </c>
      <c r="T27" t="s">
        <v>3746</v>
      </c>
      <c r="U27" t="s">
        <v>3746</v>
      </c>
      <c r="V27" t="s">
        <v>3746</v>
      </c>
      <c r="W27" t="s">
        <v>3773</v>
      </c>
      <c r="X27">
        <v>3</v>
      </c>
      <c r="Y27" t="s">
        <v>5630</v>
      </c>
      <c r="Z27" t="s">
        <v>7415</v>
      </c>
      <c r="AA27">
        <v>1.408033703274342</v>
      </c>
      <c r="AB27" t="str">
        <f>HYPERLINK("Melting_Curves/meltCurve_A8MUD9_RPL7.pdf", "Melting_Curves/meltCurve_A8MUD9_RPL7.pdf")</f>
        <v>Melting_Curves/meltCurve_A8MUD9_RPL7.pdf</v>
      </c>
    </row>
    <row r="28" spans="1:28" x14ac:dyDescent="0.25">
      <c r="A28" t="s">
        <v>32</v>
      </c>
      <c r="B28">
        <v>1</v>
      </c>
      <c r="C28">
        <v>1.0714285714285701</v>
      </c>
      <c r="D28">
        <v>1.8282519619418001</v>
      </c>
      <c r="E28">
        <v>2.3791582748801998</v>
      </c>
      <c r="F28">
        <v>1.6741961247308801</v>
      </c>
      <c r="G28">
        <v>2.2305368428363099</v>
      </c>
      <c r="H28">
        <v>1.9036044169734001</v>
      </c>
      <c r="I28">
        <v>3.1566428224182199</v>
      </c>
      <c r="J28">
        <v>3.56639349954858</v>
      </c>
      <c r="K28">
        <v>3.3880825057295598</v>
      </c>
      <c r="L28">
        <v>10801.8660323435</v>
      </c>
      <c r="M28">
        <v>250</v>
      </c>
      <c r="O28">
        <v>43.204687900257703</v>
      </c>
      <c r="P28">
        <v>0.72330095167513297</v>
      </c>
      <c r="Q28">
        <v>1.5</v>
      </c>
      <c r="R28">
        <v>-0.63823844744994596</v>
      </c>
      <c r="S28" t="s">
        <v>1902</v>
      </c>
      <c r="T28" t="s">
        <v>3746</v>
      </c>
      <c r="U28" t="s">
        <v>3746</v>
      </c>
      <c r="V28" t="s">
        <v>3746</v>
      </c>
      <c r="W28" t="s">
        <v>3774</v>
      </c>
      <c r="X28">
        <v>2</v>
      </c>
      <c r="Y28" t="s">
        <v>5631</v>
      </c>
      <c r="Z28" t="s">
        <v>7416</v>
      </c>
      <c r="AA28">
        <v>1.4465043502920669</v>
      </c>
      <c r="AB28" t="str">
        <f>HYPERLINK("Melting_Curves/meltCurve_A8MVQ3_CARS.pdf", "Melting_Curves/meltCurve_A8MVQ3_CARS.pdf")</f>
        <v>Melting_Curves/meltCurve_A8MVQ3_CARS.pdf</v>
      </c>
    </row>
    <row r="29" spans="1:28" x14ac:dyDescent="0.25">
      <c r="A29" t="s">
        <v>33</v>
      </c>
      <c r="B29">
        <v>1</v>
      </c>
      <c r="C29">
        <v>1.1050169472534199</v>
      </c>
      <c r="D29">
        <v>1.6267962688030499</v>
      </c>
      <c r="E29">
        <v>2.3266758172497801</v>
      </c>
      <c r="F29">
        <v>1.91344295358413</v>
      </c>
      <c r="G29">
        <v>2.6729600268915101</v>
      </c>
      <c r="H29">
        <v>2.08339169164402</v>
      </c>
      <c r="I29">
        <v>3.3631194151096699</v>
      </c>
      <c r="J29">
        <v>3.4250259110899499</v>
      </c>
      <c r="K29">
        <v>3.2023305974957301</v>
      </c>
      <c r="L29">
        <v>10781.8304798344</v>
      </c>
      <c r="M29">
        <v>250</v>
      </c>
      <c r="O29">
        <v>43.124562051844698</v>
      </c>
      <c r="P29">
        <v>0.72464504092761195</v>
      </c>
      <c r="Q29">
        <v>1.5</v>
      </c>
      <c r="R29">
        <v>-0.78091023392694603</v>
      </c>
      <c r="S29" t="s">
        <v>1903</v>
      </c>
      <c r="T29" t="s">
        <v>3746</v>
      </c>
      <c r="U29" t="s">
        <v>3746</v>
      </c>
      <c r="V29" t="s">
        <v>3746</v>
      </c>
      <c r="W29" t="s">
        <v>3775</v>
      </c>
      <c r="X29">
        <v>8</v>
      </c>
      <c r="Y29" t="s">
        <v>5632</v>
      </c>
      <c r="Z29" t="s">
        <v>7417</v>
      </c>
      <c r="AA29">
        <v>1.44784012411369</v>
      </c>
      <c r="AB29" t="str">
        <f>HYPERLINK("Melting_Curves/meltCurve_A8MVZ9_ALDOC.pdf", "Melting_Curves/meltCurve_A8MVZ9_ALDOC.pdf")</f>
        <v>Melting_Curves/meltCurve_A8MVZ9_ALDOC.pdf</v>
      </c>
    </row>
    <row r="30" spans="1:28" x14ac:dyDescent="0.25">
      <c r="A30" t="s">
        <v>34</v>
      </c>
      <c r="B30">
        <v>1</v>
      </c>
      <c r="C30">
        <v>0.99914127053794599</v>
      </c>
      <c r="D30">
        <v>1.5420872850791001</v>
      </c>
      <c r="E30">
        <v>2.1897601282369301</v>
      </c>
      <c r="F30">
        <v>1.99435146842738</v>
      </c>
      <c r="G30">
        <v>2.4706600767131701</v>
      </c>
      <c r="H30">
        <v>1.4305860351506601</v>
      </c>
      <c r="I30">
        <v>3.1618418792817198</v>
      </c>
      <c r="J30">
        <v>3.3240463332251999</v>
      </c>
      <c r="K30">
        <v>2.81472434784268</v>
      </c>
      <c r="L30">
        <v>11023.1815794838</v>
      </c>
      <c r="M30">
        <v>250</v>
      </c>
      <c r="O30">
        <v>44.089904895349903</v>
      </c>
      <c r="P30">
        <v>0.70877903380207796</v>
      </c>
      <c r="Q30">
        <v>1.5</v>
      </c>
      <c r="R30">
        <v>-0.46529544610310097</v>
      </c>
      <c r="S30" t="s">
        <v>1904</v>
      </c>
      <c r="T30" t="s">
        <v>3746</v>
      </c>
      <c r="U30" t="s">
        <v>3746</v>
      </c>
      <c r="V30" t="s">
        <v>3746</v>
      </c>
      <c r="W30" t="s">
        <v>3776</v>
      </c>
      <c r="X30">
        <v>2</v>
      </c>
      <c r="Y30" t="s">
        <v>5633</v>
      </c>
      <c r="Z30" t="s">
        <v>7418</v>
      </c>
      <c r="AA30">
        <v>1.431749203676824</v>
      </c>
      <c r="AB30" t="str">
        <f>HYPERLINK("Melting_Curves/meltCurve_A8MX94_GSTP1.pdf", "Melting_Curves/meltCurve_A8MX94_GSTP1.pdf")</f>
        <v>Melting_Curves/meltCurve_A8MX94_GSTP1.pdf</v>
      </c>
    </row>
    <row r="31" spans="1:28" x14ac:dyDescent="0.25">
      <c r="A31" t="s">
        <v>35</v>
      </c>
      <c r="B31">
        <v>1</v>
      </c>
      <c r="C31">
        <v>1.0368964554842299</v>
      </c>
      <c r="D31">
        <v>1.35043259838124</v>
      </c>
      <c r="E31">
        <v>1.63248674295283</v>
      </c>
      <c r="F31">
        <v>1.1884454367848201</v>
      </c>
      <c r="G31">
        <v>1.3300027909573</v>
      </c>
      <c r="H31">
        <v>0.74189226904828398</v>
      </c>
      <c r="I31">
        <v>1.0891431761094099</v>
      </c>
      <c r="J31">
        <v>1.1190064192017899</v>
      </c>
      <c r="K31">
        <v>1.042366731789</v>
      </c>
      <c r="L31">
        <v>10785.117932798399</v>
      </c>
      <c r="M31">
        <v>250</v>
      </c>
      <c r="O31">
        <v>43.137701528709101</v>
      </c>
      <c r="P31">
        <v>0.27053188006750201</v>
      </c>
      <c r="Q31">
        <v>1.1867220169785799</v>
      </c>
      <c r="R31">
        <v>8.7618951348696197E-2</v>
      </c>
      <c r="S31" t="s">
        <v>1905</v>
      </c>
      <c r="T31" t="s">
        <v>3746</v>
      </c>
      <c r="U31" t="s">
        <v>3746</v>
      </c>
      <c r="V31" t="s">
        <v>3746</v>
      </c>
      <c r="W31" t="s">
        <v>3777</v>
      </c>
      <c r="X31">
        <v>5</v>
      </c>
      <c r="Y31" t="s">
        <v>5634</v>
      </c>
      <c r="Z31" t="s">
        <v>7419</v>
      </c>
      <c r="AA31">
        <v>1.1671613728949031</v>
      </c>
      <c r="AB31" t="str">
        <f>HYPERLINK("Melting_Curves/meltCurve_A8MXB9_SUMF2.pdf", "Melting_Curves/meltCurve_A8MXB9_SUMF2.pdf")</f>
        <v>Melting_Curves/meltCurve_A8MXB9_SUMF2.pdf</v>
      </c>
    </row>
    <row r="32" spans="1:28" x14ac:dyDescent="0.25">
      <c r="A32" t="s">
        <v>36</v>
      </c>
      <c r="B32">
        <v>1</v>
      </c>
      <c r="C32">
        <v>1.24905023216547</v>
      </c>
      <c r="D32">
        <v>1.8405897605982</v>
      </c>
      <c r="E32">
        <v>2.4687933425797501</v>
      </c>
      <c r="F32">
        <v>2.1707471506965001</v>
      </c>
      <c r="G32">
        <v>2.5420611469577299</v>
      </c>
      <c r="H32">
        <v>1.7317433516251599</v>
      </c>
      <c r="I32">
        <v>2.8253331725260802</v>
      </c>
      <c r="J32">
        <v>2.8490019899897501</v>
      </c>
      <c r="K32">
        <v>2.6301031176506098</v>
      </c>
      <c r="L32">
        <v>10725.325940708701</v>
      </c>
      <c r="M32">
        <v>250</v>
      </c>
      <c r="O32">
        <v>42.898575781242798</v>
      </c>
      <c r="P32">
        <v>0.72846270709330696</v>
      </c>
      <c r="Q32">
        <v>1.5</v>
      </c>
      <c r="R32">
        <v>-0.95648851379278199</v>
      </c>
      <c r="S32" t="s">
        <v>1906</v>
      </c>
      <c r="T32" t="s">
        <v>3746</v>
      </c>
      <c r="U32" t="s">
        <v>3746</v>
      </c>
      <c r="V32" t="s">
        <v>3746</v>
      </c>
      <c r="W32" t="s">
        <v>3778</v>
      </c>
      <c r="X32">
        <v>2</v>
      </c>
      <c r="Y32" t="s">
        <v>5635</v>
      </c>
      <c r="Z32" t="s">
        <v>7420</v>
      </c>
      <c r="AA32">
        <v>1.451607291692979</v>
      </c>
      <c r="AB32" t="str">
        <f>HYPERLINK("Melting_Curves/meltCurve_A8MXL6_SEC13.pdf", "Melting_Curves/meltCurve_A8MXL6_SEC13.pdf")</f>
        <v>Melting_Curves/meltCurve_A8MXL6_SEC13.pdf</v>
      </c>
    </row>
    <row r="33" spans="1:28" x14ac:dyDescent="0.25">
      <c r="A33" t="s">
        <v>37</v>
      </c>
      <c r="B33">
        <v>1</v>
      </c>
      <c r="C33">
        <v>0.77451414179231504</v>
      </c>
      <c r="D33">
        <v>1.4115414723801101</v>
      </c>
      <c r="E33">
        <v>2.09795446036554</v>
      </c>
      <c r="F33">
        <v>1.43247336714203</v>
      </c>
      <c r="G33">
        <v>1.8956128110003101</v>
      </c>
      <c r="H33">
        <v>1.2083148973826601</v>
      </c>
      <c r="I33">
        <v>2.3372247370749801</v>
      </c>
      <c r="J33">
        <v>1.6896463701031299</v>
      </c>
      <c r="K33">
        <v>1.8559613355569899</v>
      </c>
      <c r="L33">
        <v>11429.280781788</v>
      </c>
      <c r="M33">
        <v>250</v>
      </c>
      <c r="O33">
        <v>45.7141975703437</v>
      </c>
      <c r="P33">
        <v>0.68359506941012005</v>
      </c>
      <c r="Q33">
        <v>1.5</v>
      </c>
      <c r="R33">
        <v>0.31055858027781003</v>
      </c>
      <c r="S33" t="s">
        <v>1907</v>
      </c>
      <c r="T33" t="s">
        <v>3746</v>
      </c>
      <c r="U33" t="s">
        <v>3746</v>
      </c>
      <c r="V33" t="s">
        <v>3746</v>
      </c>
      <c r="W33" t="s">
        <v>3779</v>
      </c>
      <c r="X33">
        <v>1</v>
      </c>
      <c r="Y33" t="s">
        <v>5636</v>
      </c>
      <c r="Z33" t="s">
        <v>7421</v>
      </c>
      <c r="AA33">
        <v>1.40467449812768</v>
      </c>
      <c r="AB33" t="str">
        <f>HYPERLINK("Melting_Curves/meltCurve_A8MZ87_KLC2.pdf", "Melting_Curves/meltCurve_A8MZ87_KLC2.pdf")</f>
        <v>Melting_Curves/meltCurve_A8MZ87_KLC2.pdf</v>
      </c>
    </row>
    <row r="34" spans="1:28" x14ac:dyDescent="0.25">
      <c r="A34" t="s">
        <v>38</v>
      </c>
      <c r="B34">
        <v>1</v>
      </c>
      <c r="C34">
        <v>0.94448242363184998</v>
      </c>
      <c r="D34">
        <v>1.3413809232540601</v>
      </c>
      <c r="E34">
        <v>1.69258446371388</v>
      </c>
      <c r="F34">
        <v>1.11398553592631</v>
      </c>
      <c r="G34">
        <v>1.6732630518475899</v>
      </c>
      <c r="H34">
        <v>0.92217464829273599</v>
      </c>
      <c r="I34">
        <v>1.5615442737379901</v>
      </c>
      <c r="J34">
        <v>1.45281185910121</v>
      </c>
      <c r="K34">
        <v>1.6516748821645699</v>
      </c>
      <c r="L34">
        <v>11442.076218505899</v>
      </c>
      <c r="M34">
        <v>250</v>
      </c>
      <c r="O34">
        <v>45.765375984880599</v>
      </c>
      <c r="P34">
        <v>0.59855736653862102</v>
      </c>
      <c r="Q34">
        <v>1.43829124653991</v>
      </c>
      <c r="R34">
        <v>0.37717462563605902</v>
      </c>
      <c r="S34" t="s">
        <v>1908</v>
      </c>
      <c r="T34" t="s">
        <v>3746</v>
      </c>
      <c r="U34" t="s">
        <v>3746</v>
      </c>
      <c r="V34" t="s">
        <v>3746</v>
      </c>
      <c r="W34" t="s">
        <v>3780</v>
      </c>
      <c r="X34">
        <v>1</v>
      </c>
      <c r="Y34" t="s">
        <v>5637</v>
      </c>
      <c r="Z34" t="s">
        <v>7422</v>
      </c>
      <c r="AA34">
        <v>1.3539827906979931</v>
      </c>
      <c r="AB34" t="str">
        <f>HYPERLINK("Melting_Curves/meltCurve_B0AZV0_STRAP.pdf", "Melting_Curves/meltCurve_B0AZV0_STRAP.pdf")</f>
        <v>Melting_Curves/meltCurve_B0AZV0_STRAP.pdf</v>
      </c>
    </row>
    <row r="35" spans="1:28" x14ac:dyDescent="0.25">
      <c r="A35" t="s">
        <v>39</v>
      </c>
      <c r="B35">
        <v>1</v>
      </c>
      <c r="C35">
        <v>0.99110448839519605</v>
      </c>
      <c r="D35">
        <v>1.51878443059695</v>
      </c>
      <c r="E35">
        <v>1.9461753815587499</v>
      </c>
      <c r="F35">
        <v>1.4229206177187801</v>
      </c>
      <c r="G35">
        <v>1.4369186309040001</v>
      </c>
      <c r="H35">
        <v>0.78235347241036801</v>
      </c>
      <c r="I35">
        <v>1.7082091574099201</v>
      </c>
      <c r="J35">
        <v>1.2582859207080299</v>
      </c>
      <c r="K35">
        <v>1.3853517565248801</v>
      </c>
      <c r="L35">
        <v>11050.5181994053</v>
      </c>
      <c r="M35">
        <v>250</v>
      </c>
      <c r="O35">
        <v>44.199257892268299</v>
      </c>
      <c r="P35">
        <v>0.61140300544380499</v>
      </c>
      <c r="Q35">
        <v>1.4323768116109601</v>
      </c>
      <c r="R35">
        <v>0.275490655006218</v>
      </c>
      <c r="S35" t="s">
        <v>1909</v>
      </c>
      <c r="T35" t="s">
        <v>3746</v>
      </c>
      <c r="U35" t="s">
        <v>3746</v>
      </c>
      <c r="V35" t="s">
        <v>3746</v>
      </c>
      <c r="W35" t="s">
        <v>3781</v>
      </c>
      <c r="X35">
        <v>1</v>
      </c>
      <c r="Y35" t="s">
        <v>5638</v>
      </c>
      <c r="Z35" t="s">
        <v>7423</v>
      </c>
      <c r="AA35">
        <v>1.371780642487441</v>
      </c>
      <c r="AB35" t="str">
        <f>HYPERLINK("Melting_Curves/meltCurve_B0QY51_CCDC134.pdf", "Melting_Curves/meltCurve_B0QY51_CCDC134.pdf")</f>
        <v>Melting_Curves/meltCurve_B0QY51_CCDC134.pdf</v>
      </c>
    </row>
    <row r="36" spans="1:28" x14ac:dyDescent="0.25">
      <c r="A36" t="s">
        <v>40</v>
      </c>
      <c r="B36">
        <v>1</v>
      </c>
      <c r="C36">
        <v>1.0223595175051501</v>
      </c>
      <c r="D36">
        <v>3.1314765780785199</v>
      </c>
      <c r="E36">
        <v>4.14370239612958</v>
      </c>
      <c r="F36">
        <v>1.81628583570331</v>
      </c>
      <c r="G36">
        <v>1.1365434278055599</v>
      </c>
      <c r="H36">
        <v>1.3952469680624999</v>
      </c>
      <c r="I36">
        <v>1.88561995358112</v>
      </c>
      <c r="J36">
        <v>3.3176424438560401</v>
      </c>
      <c r="K36">
        <v>2.9220032035566001</v>
      </c>
      <c r="L36">
        <v>10856.2831669931</v>
      </c>
      <c r="M36">
        <v>250</v>
      </c>
      <c r="O36">
        <v>43.422353697766198</v>
      </c>
      <c r="P36">
        <v>0.71967540539916897</v>
      </c>
      <c r="Q36">
        <v>1.5</v>
      </c>
      <c r="R36">
        <v>-0.36461068947597602</v>
      </c>
      <c r="S36" t="s">
        <v>1910</v>
      </c>
      <c r="T36" t="s">
        <v>3746</v>
      </c>
      <c r="U36" t="s">
        <v>3746</v>
      </c>
      <c r="V36" t="s">
        <v>3746</v>
      </c>
      <c r="W36" t="s">
        <v>3782</v>
      </c>
      <c r="X36">
        <v>1</v>
      </c>
      <c r="Y36" t="s">
        <v>5639</v>
      </c>
      <c r="Z36" t="s">
        <v>7424</v>
      </c>
      <c r="AA36">
        <v>1.442876350316582</v>
      </c>
      <c r="AB36" t="str">
        <f>HYPERLINK("Melting_Curves/meltCurve_B0QYF0_BAIAP2L2.pdf", "Melting_Curves/meltCurve_B0QYF0_BAIAP2L2.pdf")</f>
        <v>Melting_Curves/meltCurve_B0QYF0_BAIAP2L2.pdf</v>
      </c>
    </row>
    <row r="37" spans="1:28" x14ac:dyDescent="0.25">
      <c r="A37" t="s">
        <v>41</v>
      </c>
      <c r="B37">
        <v>1</v>
      </c>
      <c r="C37">
        <v>1.15397330468201</v>
      </c>
      <c r="D37">
        <v>2.5360138848712799</v>
      </c>
      <c r="E37">
        <v>3.4637794950204599</v>
      </c>
      <c r="F37">
        <v>2.8683003429893801</v>
      </c>
      <c r="G37">
        <v>2.7035414686557302</v>
      </c>
      <c r="H37">
        <v>1.6490764081160401</v>
      </c>
      <c r="I37">
        <v>2.4362576965990299</v>
      </c>
      <c r="J37">
        <v>2.7471796355221301</v>
      </c>
      <c r="K37">
        <v>2.35385759742138</v>
      </c>
      <c r="L37">
        <v>10759.737516576501</v>
      </c>
      <c r="M37">
        <v>250</v>
      </c>
      <c r="O37">
        <v>43.036179105342697</v>
      </c>
      <c r="P37">
        <v>0.72613295247918497</v>
      </c>
      <c r="Q37">
        <v>1.5</v>
      </c>
      <c r="R37">
        <v>-1.0625169900439899</v>
      </c>
      <c r="S37" t="s">
        <v>1911</v>
      </c>
      <c r="T37" t="s">
        <v>3746</v>
      </c>
      <c r="U37" t="s">
        <v>3746</v>
      </c>
      <c r="V37" t="s">
        <v>3746</v>
      </c>
      <c r="W37" t="s">
        <v>3783</v>
      </c>
      <c r="X37">
        <v>1</v>
      </c>
      <c r="Y37" t="s">
        <v>5640</v>
      </c>
      <c r="Z37" t="s">
        <v>7425</v>
      </c>
      <c r="AA37">
        <v>1.4493130658705931</v>
      </c>
      <c r="AB37" t="str">
        <f>HYPERLINK("Melting_Curves/meltCurve_B0S7V7_CCHCR1.pdf", "Melting_Curves/meltCurve_B0S7V7_CCHCR1.pdf")</f>
        <v>Melting_Curves/meltCurve_B0S7V7_CCHCR1.pdf</v>
      </c>
    </row>
    <row r="38" spans="1:28" x14ac:dyDescent="0.25">
      <c r="A38" t="s">
        <v>42</v>
      </c>
      <c r="B38">
        <v>1</v>
      </c>
      <c r="C38">
        <v>1.0003544842254499</v>
      </c>
      <c r="D38">
        <v>1.2593811718235699</v>
      </c>
      <c r="E38">
        <v>1.5401326783815299</v>
      </c>
      <c r="F38">
        <v>1.13657770800628</v>
      </c>
      <c r="G38">
        <v>1.2306679495619599</v>
      </c>
      <c r="H38">
        <v>0.73758039195827196</v>
      </c>
      <c r="I38">
        <v>1.1136881551628099</v>
      </c>
      <c r="J38">
        <v>1.17344406745328</v>
      </c>
      <c r="K38">
        <v>1.0495771509596401</v>
      </c>
      <c r="L38">
        <v>10964.3894293009</v>
      </c>
      <c r="M38">
        <v>250</v>
      </c>
      <c r="O38">
        <v>43.854751170299799</v>
      </c>
      <c r="P38">
        <v>0.22108654000358799</v>
      </c>
      <c r="Q38">
        <v>1.1551311228392001</v>
      </c>
      <c r="R38">
        <v>9.82265802242729E-2</v>
      </c>
      <c r="S38" t="s">
        <v>1912</v>
      </c>
      <c r="T38" t="s">
        <v>3746</v>
      </c>
      <c r="U38" t="s">
        <v>3746</v>
      </c>
      <c r="V38" t="s">
        <v>3746</v>
      </c>
      <c r="W38" t="s">
        <v>3784</v>
      </c>
      <c r="X38">
        <v>11</v>
      </c>
      <c r="Y38" t="s">
        <v>5641</v>
      </c>
      <c r="Z38" t="s">
        <v>7426</v>
      </c>
      <c r="AA38">
        <v>1.1351716071641711</v>
      </c>
      <c r="AB38" t="str">
        <f>HYPERLINK("Melting_Curves/meltCurve_B0S7Z5_HLA_C.pdf", "Melting_Curves/meltCurve_B0S7Z5_HLA_C.pdf")</f>
        <v>Melting_Curves/meltCurve_B0S7Z5_HLA_C.pdf</v>
      </c>
    </row>
    <row r="39" spans="1:28" x14ac:dyDescent="0.25">
      <c r="A39" t="s">
        <v>43</v>
      </c>
      <c r="B39">
        <v>1</v>
      </c>
      <c r="C39">
        <v>1.0188859133799799</v>
      </c>
      <c r="D39">
        <v>1.1862232379456801</v>
      </c>
      <c r="E39">
        <v>1.3771153765265101</v>
      </c>
      <c r="F39">
        <v>1.1383004080030299</v>
      </c>
      <c r="G39">
        <v>1.05062882940987</v>
      </c>
      <c r="H39">
        <v>0.79354485930204799</v>
      </c>
      <c r="I39">
        <v>0.97868850160537302</v>
      </c>
      <c r="J39">
        <v>1.02881258500063</v>
      </c>
      <c r="K39">
        <v>0.936682416611752</v>
      </c>
      <c r="L39">
        <v>10759.6575872418</v>
      </c>
      <c r="M39">
        <v>250</v>
      </c>
      <c r="O39">
        <v>43.035860377085598</v>
      </c>
      <c r="P39">
        <v>8.8951256061208295E-2</v>
      </c>
      <c r="Q39">
        <v>1.06124952390212</v>
      </c>
      <c r="R39">
        <v>2.0241431776981001E-2</v>
      </c>
      <c r="S39" t="s">
        <v>1913</v>
      </c>
      <c r="T39" t="s">
        <v>3746</v>
      </c>
      <c r="U39" t="s">
        <v>3746</v>
      </c>
      <c r="V39" t="s">
        <v>3746</v>
      </c>
      <c r="W39" t="s">
        <v>3784</v>
      </c>
      <c r="X39">
        <v>9</v>
      </c>
      <c r="Y39" t="s">
        <v>5641</v>
      </c>
      <c r="Z39" t="s">
        <v>7427</v>
      </c>
      <c r="AA39">
        <v>1.0550410755206741</v>
      </c>
      <c r="AB39" t="str">
        <f>HYPERLINK("Melting_Curves/meltCurve_B0UY14_HLA_C.pdf", "Melting_Curves/meltCurve_B0UY14_HLA_C.pdf")</f>
        <v>Melting_Curves/meltCurve_B0UY14_HLA_C.pdf</v>
      </c>
    </row>
    <row r="40" spans="1:28" x14ac:dyDescent="0.25">
      <c r="A40" t="s">
        <v>44</v>
      </c>
      <c r="B40">
        <v>1</v>
      </c>
      <c r="C40">
        <v>1.49406417643553</v>
      </c>
      <c r="D40">
        <v>1.66153387641566</v>
      </c>
      <c r="E40">
        <v>1.2164464534075099</v>
      </c>
      <c r="F40">
        <v>1.3583846612358399</v>
      </c>
      <c r="G40">
        <v>1.4548976753427401</v>
      </c>
      <c r="H40">
        <v>0.72712596860719203</v>
      </c>
      <c r="I40">
        <v>1.68542618716471</v>
      </c>
      <c r="J40">
        <v>1.8435326842837301</v>
      </c>
      <c r="K40">
        <v>1.91982912775681</v>
      </c>
      <c r="L40">
        <v>10284.9139333944</v>
      </c>
      <c r="M40">
        <v>250</v>
      </c>
      <c r="O40">
        <v>41.1370230544157</v>
      </c>
      <c r="P40">
        <v>0.73623480206997705</v>
      </c>
      <c r="Q40">
        <v>1.4845841280171801</v>
      </c>
      <c r="R40">
        <v>0.16722293147292999</v>
      </c>
      <c r="S40" t="s">
        <v>1914</v>
      </c>
      <c r="T40" t="s">
        <v>3746</v>
      </c>
      <c r="U40" t="s">
        <v>3746</v>
      </c>
      <c r="V40" t="s">
        <v>3746</v>
      </c>
      <c r="W40" t="s">
        <v>3785</v>
      </c>
      <c r="X40">
        <v>1</v>
      </c>
      <c r="Y40" t="s">
        <v>5642</v>
      </c>
      <c r="Z40" t="s">
        <v>7428</v>
      </c>
      <c r="AA40">
        <v>1.4661384951737879</v>
      </c>
      <c r="AB40" t="str">
        <f>HYPERLINK("Melting_Curves/meltCurve_B0V043_VARS.pdf", "Melting_Curves/meltCurve_B0V043_VARS.pdf")</f>
        <v>Melting_Curves/meltCurve_B0V043_VARS.pdf</v>
      </c>
    </row>
    <row r="41" spans="1:28" x14ac:dyDescent="0.25">
      <c r="A41" t="s">
        <v>45</v>
      </c>
      <c r="B41">
        <v>1</v>
      </c>
      <c r="C41">
        <v>1.05848038500802</v>
      </c>
      <c r="D41">
        <v>1.6020125419279601</v>
      </c>
      <c r="E41">
        <v>3.2504010500218801</v>
      </c>
      <c r="F41">
        <v>3.1292110252296901</v>
      </c>
      <c r="G41">
        <v>4.15225317194108</v>
      </c>
      <c r="H41">
        <v>2.4988333090272699</v>
      </c>
      <c r="I41">
        <v>3.7380049584366302</v>
      </c>
      <c r="J41">
        <v>3.3608721015021099</v>
      </c>
      <c r="K41">
        <v>3.30968353507365</v>
      </c>
      <c r="L41">
        <v>10811.723442603899</v>
      </c>
      <c r="M41">
        <v>250</v>
      </c>
      <c r="O41">
        <v>43.244125896793697</v>
      </c>
      <c r="P41">
        <v>0.72264149474430595</v>
      </c>
      <c r="Q41">
        <v>1.5</v>
      </c>
      <c r="R41">
        <v>-1.2549295346876299</v>
      </c>
      <c r="S41" t="s">
        <v>1915</v>
      </c>
      <c r="T41" t="s">
        <v>3746</v>
      </c>
      <c r="U41" t="s">
        <v>3746</v>
      </c>
      <c r="V41" t="s">
        <v>3746</v>
      </c>
      <c r="W41" t="s">
        <v>3786</v>
      </c>
      <c r="X41">
        <v>1</v>
      </c>
      <c r="Y41" t="s">
        <v>5643</v>
      </c>
      <c r="Z41" t="s">
        <v>7429</v>
      </c>
      <c r="AA41">
        <v>1.4458471550098939</v>
      </c>
      <c r="AB41" t="str">
        <f>HYPERLINK("Melting_Curves/meltCurve_B0V0T3_PSMB9.pdf", "Melting_Curves/meltCurve_B0V0T3_PSMB9.pdf")</f>
        <v>Melting_Curves/meltCurve_B0V0T3_PSMB9.pdf</v>
      </c>
    </row>
    <row r="42" spans="1:28" x14ac:dyDescent="0.25">
      <c r="A42" t="s">
        <v>46</v>
      </c>
      <c r="B42">
        <v>1</v>
      </c>
      <c r="C42">
        <v>0.76133886653252902</v>
      </c>
      <c r="D42">
        <v>1.2263581488933599</v>
      </c>
      <c r="E42">
        <v>1.6176433601609701</v>
      </c>
      <c r="F42">
        <v>0.87768276324614403</v>
      </c>
      <c r="G42">
        <v>0.80223004694835698</v>
      </c>
      <c r="H42">
        <v>0.52942655935613703</v>
      </c>
      <c r="I42">
        <v>0.832599765258216</v>
      </c>
      <c r="J42">
        <v>1.0083417169684801</v>
      </c>
      <c r="K42">
        <v>0.93802397719651198</v>
      </c>
      <c r="L42">
        <v>13208.176423544501</v>
      </c>
      <c r="M42">
        <v>250</v>
      </c>
      <c r="O42">
        <v>52.829330368212702</v>
      </c>
      <c r="P42">
        <v>-0.21043686054313099</v>
      </c>
      <c r="Q42">
        <v>0.82212420425226596</v>
      </c>
      <c r="R42">
        <v>0.20067188929013499</v>
      </c>
      <c r="S42" t="s">
        <v>1916</v>
      </c>
      <c r="T42" t="s">
        <v>3746</v>
      </c>
      <c r="U42" t="s">
        <v>3746</v>
      </c>
      <c r="V42" t="s">
        <v>3746</v>
      </c>
      <c r="W42" t="s">
        <v>3787</v>
      </c>
      <c r="X42">
        <v>4</v>
      </c>
      <c r="Y42" t="s">
        <v>5644</v>
      </c>
      <c r="Z42" t="s">
        <v>7430</v>
      </c>
      <c r="AA42">
        <v>0.89822828823015777</v>
      </c>
      <c r="AB42" t="str">
        <f>HYPERLINK("Melting_Curves/meltCurve_B0V1E4_HLA_DPB1.pdf", "Melting_Curves/meltCurve_B0V1E4_HLA_DPB1.pdf")</f>
        <v>Melting_Curves/meltCurve_B0V1E4_HLA_DPB1.pdf</v>
      </c>
    </row>
    <row r="43" spans="1:28" x14ac:dyDescent="0.25">
      <c r="A43" t="s">
        <v>47</v>
      </c>
      <c r="B43">
        <v>1</v>
      </c>
      <c r="C43">
        <v>0.86145399125949995</v>
      </c>
      <c r="D43">
        <v>1.0991229221126599</v>
      </c>
      <c r="E43">
        <v>1.2294229856982799</v>
      </c>
      <c r="F43">
        <v>0.85172438155411301</v>
      </c>
      <c r="G43">
        <v>0.872909496462419</v>
      </c>
      <c r="H43">
        <v>0.70954490860828201</v>
      </c>
      <c r="I43">
        <v>0.91644041623351102</v>
      </c>
      <c r="J43">
        <v>0.95189697110386695</v>
      </c>
      <c r="K43">
        <v>0.80495362286660099</v>
      </c>
      <c r="L43">
        <v>13010.078089796099</v>
      </c>
      <c r="M43">
        <v>250</v>
      </c>
      <c r="O43">
        <v>52.036980390290402</v>
      </c>
      <c r="P43">
        <v>-0.17898069927402199</v>
      </c>
      <c r="Q43">
        <v>0.850982152992384</v>
      </c>
      <c r="R43">
        <v>0.41263371734413301</v>
      </c>
      <c r="S43" t="s">
        <v>1917</v>
      </c>
      <c r="T43" t="s">
        <v>3746</v>
      </c>
      <c r="U43" t="s">
        <v>3746</v>
      </c>
      <c r="V43" t="s">
        <v>3746</v>
      </c>
      <c r="W43" t="s">
        <v>3788</v>
      </c>
      <c r="X43">
        <v>3</v>
      </c>
      <c r="Y43" t="s">
        <v>5645</v>
      </c>
      <c r="Z43" t="s">
        <v>7431</v>
      </c>
      <c r="AA43">
        <v>0.91080314361864656</v>
      </c>
      <c r="AB43" t="str">
        <f>HYPERLINK("Melting_Curves/meltCurve_B0YIW2_APOC3.pdf", "Melting_Curves/meltCurve_B0YIW2_APOC3.pdf")</f>
        <v>Melting_Curves/meltCurve_B0YIW2_APOC3.pdf</v>
      </c>
    </row>
    <row r="44" spans="1:28" x14ac:dyDescent="0.25">
      <c r="A44" t="s">
        <v>48</v>
      </c>
      <c r="B44">
        <v>1</v>
      </c>
      <c r="C44">
        <v>1.1411180124223601</v>
      </c>
      <c r="D44">
        <v>1.46724637681159</v>
      </c>
      <c r="E44">
        <v>2.0154865424430599</v>
      </c>
      <c r="F44">
        <v>1.5891511387163599</v>
      </c>
      <c r="G44">
        <v>1.7942028985507199</v>
      </c>
      <c r="H44">
        <v>1.3166045548654199</v>
      </c>
      <c r="I44">
        <v>1.9943685300206999</v>
      </c>
      <c r="J44">
        <v>2.0360248447205</v>
      </c>
      <c r="K44">
        <v>1.89507246376812</v>
      </c>
      <c r="L44">
        <v>2624.6649104906401</v>
      </c>
      <c r="M44">
        <v>60.234156861903301</v>
      </c>
      <c r="O44">
        <v>43.526416233275299</v>
      </c>
      <c r="P44">
        <v>0.17298170950382799</v>
      </c>
      <c r="Q44">
        <v>1.5</v>
      </c>
      <c r="R44">
        <v>0.171130191585633</v>
      </c>
      <c r="S44" t="s">
        <v>1918</v>
      </c>
      <c r="T44" t="s">
        <v>3746</v>
      </c>
      <c r="U44" t="s">
        <v>3746</v>
      </c>
      <c r="V44" t="s">
        <v>3746</v>
      </c>
      <c r="W44" t="s">
        <v>3789</v>
      </c>
      <c r="X44">
        <v>5</v>
      </c>
      <c r="Y44" t="s">
        <v>5646</v>
      </c>
      <c r="Z44" t="s">
        <v>7432</v>
      </c>
      <c r="AA44">
        <v>1.43972102435317</v>
      </c>
      <c r="AB44" t="str">
        <f>HYPERLINK("Melting_Curves/meltCurve_B0YIW6_ARCN1.pdf", "Melting_Curves/meltCurve_B0YIW6_ARCN1.pdf")</f>
        <v>Melting_Curves/meltCurve_B0YIW6_ARCN1.pdf</v>
      </c>
    </row>
    <row r="45" spans="1:28" x14ac:dyDescent="0.25">
      <c r="A45" t="s">
        <v>49</v>
      </c>
      <c r="B45">
        <v>1</v>
      </c>
      <c r="C45">
        <v>1.08028588250687</v>
      </c>
      <c r="D45">
        <v>1.3222720136072199</v>
      </c>
      <c r="E45">
        <v>1.6400628025644399</v>
      </c>
      <c r="F45">
        <v>1.3464444589820801</v>
      </c>
      <c r="G45">
        <v>1.29410898861704</v>
      </c>
      <c r="H45">
        <v>0.76226612586680598</v>
      </c>
      <c r="I45">
        <v>1.1553709276462101</v>
      </c>
      <c r="J45">
        <v>1.1411258668062301</v>
      </c>
      <c r="K45">
        <v>1.0299947664529601</v>
      </c>
      <c r="L45">
        <v>1.0000000000000001E-5</v>
      </c>
      <c r="M45">
        <v>1.0000000000000001E-5</v>
      </c>
      <c r="Q45">
        <v>1.35438462594209</v>
      </c>
      <c r="R45">
        <v>-4.0777856646911898E-9</v>
      </c>
      <c r="S45" t="s">
        <v>1919</v>
      </c>
      <c r="T45" t="s">
        <v>3746</v>
      </c>
      <c r="U45" t="s">
        <v>3746</v>
      </c>
      <c r="V45" t="s">
        <v>3746</v>
      </c>
      <c r="W45" t="s">
        <v>3790</v>
      </c>
      <c r="X45">
        <v>6</v>
      </c>
      <c r="Y45" t="s">
        <v>5647</v>
      </c>
      <c r="Z45" t="s">
        <v>7433</v>
      </c>
      <c r="AA45">
        <v>1.1771931824060069</v>
      </c>
      <c r="AB45" t="str">
        <f>HYPERLINK("Melting_Curves/meltCurve_B0YJC4_VIM.pdf", "Melting_Curves/meltCurve_B0YJC4_VIM.pdf")</f>
        <v>Melting_Curves/meltCurve_B0YJC4_VIM.pdf</v>
      </c>
    </row>
    <row r="46" spans="1:28" x14ac:dyDescent="0.25">
      <c r="A46" t="s">
        <v>50</v>
      </c>
      <c r="B46">
        <v>1</v>
      </c>
      <c r="C46">
        <v>1.37077689945119</v>
      </c>
      <c r="D46">
        <v>1.9090176728261401</v>
      </c>
      <c r="E46">
        <v>2.5964201198328398</v>
      </c>
      <c r="F46">
        <v>1.7251145460953601</v>
      </c>
      <c r="G46">
        <v>1.92953527012739</v>
      </c>
      <c r="H46">
        <v>0.72346558582145903</v>
      </c>
      <c r="I46">
        <v>1.7758421026131599</v>
      </c>
      <c r="J46">
        <v>1.6415336589295599</v>
      </c>
      <c r="K46">
        <v>1.40589597704043</v>
      </c>
      <c r="L46">
        <v>1.45742020108482E-2</v>
      </c>
      <c r="M46">
        <v>17.596644723510401</v>
      </c>
      <c r="Q46">
        <v>1.5</v>
      </c>
      <c r="R46">
        <v>-4.7143603283737602E-2</v>
      </c>
      <c r="S46" t="s">
        <v>1920</v>
      </c>
      <c r="T46" t="s">
        <v>3746</v>
      </c>
      <c r="U46" t="s">
        <v>3746</v>
      </c>
      <c r="V46" t="s">
        <v>3746</v>
      </c>
      <c r="W46" t="s">
        <v>3791</v>
      </c>
      <c r="X46">
        <v>1</v>
      </c>
      <c r="Y46" t="s">
        <v>5648</v>
      </c>
      <c r="Z46" t="s">
        <v>7434</v>
      </c>
      <c r="AA46">
        <v>1.49999998859849</v>
      </c>
      <c r="AB46" t="str">
        <f>HYPERLINK("Melting_Curves/meltCurve_B1AJY5_PSMD10.pdf", "Melting_Curves/meltCurve_B1AJY5_PSMD10.pdf")</f>
        <v>Melting_Curves/meltCurve_B1AJY5_PSMD10.pdf</v>
      </c>
    </row>
    <row r="47" spans="1:28" x14ac:dyDescent="0.25">
      <c r="A47" t="s">
        <v>51</v>
      </c>
      <c r="B47">
        <v>1</v>
      </c>
      <c r="C47">
        <v>1.05628954923269</v>
      </c>
      <c r="D47">
        <v>1.7564744254558</v>
      </c>
      <c r="E47">
        <v>2.63952142610212</v>
      </c>
      <c r="F47">
        <v>2.3047902481550002</v>
      </c>
      <c r="G47">
        <v>2.53941771505013</v>
      </c>
      <c r="H47">
        <v>1.73633343854744</v>
      </c>
      <c r="I47">
        <v>2.4541942853707299</v>
      </c>
      <c r="J47">
        <v>2.6787512588116802</v>
      </c>
      <c r="K47">
        <v>2.3265845996603098</v>
      </c>
      <c r="L47">
        <v>10813.573386166599</v>
      </c>
      <c r="M47">
        <v>250</v>
      </c>
      <c r="O47">
        <v>43.251524067282602</v>
      </c>
      <c r="P47">
        <v>0.72251786806964502</v>
      </c>
      <c r="Q47">
        <v>1.5</v>
      </c>
      <c r="R47">
        <v>-0.72149044870666001</v>
      </c>
      <c r="S47" t="s">
        <v>1921</v>
      </c>
      <c r="T47" t="s">
        <v>3746</v>
      </c>
      <c r="U47" t="s">
        <v>3746</v>
      </c>
      <c r="V47" t="s">
        <v>3746</v>
      </c>
      <c r="W47" t="s">
        <v>3792</v>
      </c>
      <c r="X47">
        <v>11</v>
      </c>
      <c r="Y47" t="s">
        <v>5649</v>
      </c>
      <c r="Z47" t="s">
        <v>7435</v>
      </c>
      <c r="AA47">
        <v>1.445723818945974</v>
      </c>
      <c r="AB47" t="str">
        <f>HYPERLINK("Melting_Curves/meltCurve_B1AK87_CAPZB.pdf", "Melting_Curves/meltCurve_B1AK87_CAPZB.pdf")</f>
        <v>Melting_Curves/meltCurve_B1AK87_CAPZB.pdf</v>
      </c>
    </row>
    <row r="48" spans="1:28" x14ac:dyDescent="0.25">
      <c r="A48" t="s">
        <v>52</v>
      </c>
      <c r="B48">
        <v>1</v>
      </c>
      <c r="C48">
        <v>0.77148670107185402</v>
      </c>
      <c r="D48">
        <v>1.1568082572449401</v>
      </c>
      <c r="E48">
        <v>1.3630905121079799</v>
      </c>
      <c r="F48">
        <v>1.1998809051210799</v>
      </c>
      <c r="G48">
        <v>1.44744938467646</v>
      </c>
      <c r="H48">
        <v>1.6269849146486699</v>
      </c>
      <c r="I48">
        <v>1.3871576022231</v>
      </c>
      <c r="J48">
        <v>1.5336939261611799</v>
      </c>
      <c r="K48">
        <v>1.2987296546248499</v>
      </c>
      <c r="L48">
        <v>1079.72170995326</v>
      </c>
      <c r="M48">
        <v>22.111984163257802</v>
      </c>
      <c r="O48">
        <v>48.435610756002497</v>
      </c>
      <c r="P48">
        <v>5.0724367809200303E-2</v>
      </c>
      <c r="Q48">
        <v>1.4444307114486299</v>
      </c>
      <c r="R48">
        <v>0.70679195663681504</v>
      </c>
      <c r="S48" t="s">
        <v>1922</v>
      </c>
      <c r="T48" t="s">
        <v>3746</v>
      </c>
      <c r="U48" t="s">
        <v>3746</v>
      </c>
      <c r="V48" t="s">
        <v>3746</v>
      </c>
      <c r="W48" t="s">
        <v>3793</v>
      </c>
      <c r="X48">
        <v>1</v>
      </c>
      <c r="Y48" t="s">
        <v>5650</v>
      </c>
      <c r="Z48" t="s">
        <v>7436</v>
      </c>
      <c r="AA48">
        <v>1.3085520814425351</v>
      </c>
      <c r="AB48" t="str">
        <f>HYPERLINK("Melting_Curves/meltCurve_B1AKD8_CROCC.pdf", "Melting_Curves/meltCurve_B1AKD8_CROCC.pdf")</f>
        <v>Melting_Curves/meltCurve_B1AKD8_CROCC.pdf</v>
      </c>
    </row>
    <row r="49" spans="1:28" x14ac:dyDescent="0.25">
      <c r="A49" t="s">
        <v>53</v>
      </c>
      <c r="B49">
        <v>1</v>
      </c>
      <c r="C49">
        <v>1.1203097081596201</v>
      </c>
      <c r="D49">
        <v>1.50109191979353</v>
      </c>
      <c r="E49">
        <v>1.97826086956522</v>
      </c>
      <c r="F49">
        <v>1.55221361921779</v>
      </c>
      <c r="G49">
        <v>1.443021639865</v>
      </c>
      <c r="H49">
        <v>1.1121699424260501</v>
      </c>
      <c r="I49">
        <v>1.54228707564026</v>
      </c>
      <c r="J49">
        <v>1.6759976176295399</v>
      </c>
      <c r="K49">
        <v>1.43349215803057</v>
      </c>
      <c r="L49">
        <v>10774.304393889501</v>
      </c>
      <c r="M49">
        <v>250</v>
      </c>
      <c r="O49">
        <v>43.094459659613598</v>
      </c>
      <c r="P49">
        <v>0.72515122124869502</v>
      </c>
      <c r="Q49">
        <v>1.5</v>
      </c>
      <c r="R49">
        <v>0.45534377374519203</v>
      </c>
      <c r="S49" t="s">
        <v>1923</v>
      </c>
      <c r="T49" t="s">
        <v>3746</v>
      </c>
      <c r="U49" t="s">
        <v>3746</v>
      </c>
      <c r="V49" t="s">
        <v>3746</v>
      </c>
      <c r="W49" t="s">
        <v>3794</v>
      </c>
      <c r="X49">
        <v>2</v>
      </c>
      <c r="Y49" t="s">
        <v>5651</v>
      </c>
      <c r="Z49" t="s">
        <v>7437</v>
      </c>
      <c r="AA49">
        <v>1.448341889591354</v>
      </c>
      <c r="AB49" t="str">
        <f>HYPERLINK("Melting_Curves/meltCurve_B1AKZ5_PEA15.pdf", "Melting_Curves/meltCurve_B1AKZ5_PEA15.pdf")</f>
        <v>Melting_Curves/meltCurve_B1AKZ5_PEA15.pdf</v>
      </c>
    </row>
    <row r="50" spans="1:28" x14ac:dyDescent="0.25">
      <c r="A50" t="s">
        <v>54</v>
      </c>
      <c r="B50">
        <v>1</v>
      </c>
      <c r="C50">
        <v>1.5209355250411301</v>
      </c>
      <c r="D50">
        <v>3.0427629049867</v>
      </c>
      <c r="E50">
        <v>3.95660664585672</v>
      </c>
      <c r="F50">
        <v>2.2694631956083802</v>
      </c>
      <c r="G50">
        <v>2.3398889794412101</v>
      </c>
      <c r="H50">
        <v>1.98283948149401</v>
      </c>
      <c r="I50">
        <v>2.5571632863315501</v>
      </c>
      <c r="J50">
        <v>2.77459136130887</v>
      </c>
      <c r="K50">
        <v>2.5261021327633699</v>
      </c>
      <c r="L50">
        <v>10274.6064520295</v>
      </c>
      <c r="M50">
        <v>250</v>
      </c>
      <c r="O50">
        <v>41.095793437691803</v>
      </c>
      <c r="P50">
        <v>0.76041841849728897</v>
      </c>
      <c r="Q50">
        <v>1.5</v>
      </c>
      <c r="R50">
        <v>-1.31160142381059</v>
      </c>
      <c r="S50" t="s">
        <v>1924</v>
      </c>
      <c r="T50" t="s">
        <v>3746</v>
      </c>
      <c r="U50" t="s">
        <v>3746</v>
      </c>
      <c r="V50" t="s">
        <v>3746</v>
      </c>
      <c r="W50" t="s">
        <v>3795</v>
      </c>
      <c r="X50">
        <v>17</v>
      </c>
      <c r="Y50" t="s">
        <v>5652</v>
      </c>
      <c r="Z50" t="s">
        <v>7438</v>
      </c>
      <c r="AA50">
        <v>1.481654153569115</v>
      </c>
      <c r="AB50" t="str">
        <f>HYPERLINK("Melting_Curves/meltCurve_B1ALD8_POSTN.pdf", "Melting_Curves/meltCurve_B1ALD8_POSTN.pdf")</f>
        <v>Melting_Curves/meltCurve_B1ALD8_POSTN.pdf</v>
      </c>
    </row>
    <row r="51" spans="1:28" x14ac:dyDescent="0.25">
      <c r="A51" t="s">
        <v>55</v>
      </c>
      <c r="B51">
        <v>1</v>
      </c>
      <c r="C51">
        <v>1.59991049451779</v>
      </c>
      <c r="D51">
        <v>3.4159767285746301</v>
      </c>
      <c r="E51">
        <v>4.0966659207876504</v>
      </c>
      <c r="F51">
        <v>2.6480196912060898</v>
      </c>
      <c r="G51">
        <v>2.9214589393600399</v>
      </c>
      <c r="H51">
        <v>2.0441933318415799</v>
      </c>
      <c r="I51">
        <v>2.8101364958603701</v>
      </c>
      <c r="J51">
        <v>2.93656298948311</v>
      </c>
      <c r="K51">
        <v>2.7378608189751601</v>
      </c>
      <c r="L51">
        <v>10253.257912569899</v>
      </c>
      <c r="M51">
        <v>250</v>
      </c>
      <c r="O51">
        <v>41.0104077090676</v>
      </c>
      <c r="P51">
        <v>0.76200170286642399</v>
      </c>
      <c r="Q51">
        <v>1.5</v>
      </c>
      <c r="R51">
        <v>-1.7466235976858699</v>
      </c>
      <c r="S51" t="s">
        <v>1925</v>
      </c>
      <c r="T51" t="s">
        <v>3746</v>
      </c>
      <c r="U51" t="s">
        <v>3746</v>
      </c>
      <c r="V51" t="s">
        <v>3746</v>
      </c>
      <c r="W51" t="s">
        <v>3795</v>
      </c>
      <c r="X51">
        <v>18</v>
      </c>
      <c r="Y51" t="s">
        <v>5652</v>
      </c>
      <c r="Z51" t="s">
        <v>7439</v>
      </c>
      <c r="AA51">
        <v>1.483075562329178</v>
      </c>
      <c r="AB51" t="str">
        <f>HYPERLINK("Melting_Curves/meltCurve_B1ALD9_POSTN.pdf", "Melting_Curves/meltCurve_B1ALD9_POSTN.pdf")</f>
        <v>Melting_Curves/meltCurve_B1ALD9_POSTN.pdf</v>
      </c>
    </row>
    <row r="52" spans="1:28" x14ac:dyDescent="0.25">
      <c r="A52" t="s">
        <v>56</v>
      </c>
      <c r="B52">
        <v>1</v>
      </c>
      <c r="C52">
        <v>0.98485364380251506</v>
      </c>
      <c r="D52">
        <v>1.52561919929705</v>
      </c>
      <c r="E52">
        <v>1.66269427206327</v>
      </c>
      <c r="F52">
        <v>1.7483661925421501</v>
      </c>
      <c r="G52">
        <v>1.66719753967818</v>
      </c>
      <c r="H52">
        <v>0.71877642923828899</v>
      </c>
      <c r="I52">
        <v>1.68543028172882</v>
      </c>
      <c r="J52">
        <v>1.3294524685594999</v>
      </c>
      <c r="K52">
        <v>1.10824317645121</v>
      </c>
      <c r="L52">
        <v>11059.9955039915</v>
      </c>
      <c r="M52">
        <v>250</v>
      </c>
      <c r="O52">
        <v>44.237152096771197</v>
      </c>
      <c r="P52">
        <v>0.60839240408467798</v>
      </c>
      <c r="Q52">
        <v>1.4306167453663401</v>
      </c>
      <c r="R52">
        <v>0.25326650634299502</v>
      </c>
      <c r="S52" t="s">
        <v>1926</v>
      </c>
      <c r="T52" t="s">
        <v>3746</v>
      </c>
      <c r="U52" t="s">
        <v>3746</v>
      </c>
      <c r="V52" t="s">
        <v>3746</v>
      </c>
      <c r="W52" t="s">
        <v>3796</v>
      </c>
      <c r="X52">
        <v>1</v>
      </c>
      <c r="Y52" t="s">
        <v>5653</v>
      </c>
      <c r="Z52" t="s">
        <v>7440</v>
      </c>
      <c r="AA52">
        <v>1.369723070204661</v>
      </c>
      <c r="AB52" t="str">
        <f>HYPERLINK("Melting_Curves/meltCurve_B1AN99_PRSS3.pdf", "Melting_Curves/meltCurve_B1AN99_PRSS3.pdf")</f>
        <v>Melting_Curves/meltCurve_B1AN99_PRSS3.pdf</v>
      </c>
    </row>
    <row r="53" spans="1:28" x14ac:dyDescent="0.25">
      <c r="A53" t="s">
        <v>57</v>
      </c>
      <c r="B53">
        <v>1</v>
      </c>
      <c r="C53">
        <v>1.1389629629629601</v>
      </c>
      <c r="D53">
        <v>1.7456296296296301</v>
      </c>
      <c r="E53">
        <v>2.2482962962962998</v>
      </c>
      <c r="F53">
        <v>1.67474074074074</v>
      </c>
      <c r="G53">
        <v>2.06111111111111</v>
      </c>
      <c r="H53">
        <v>1.1880740740740701</v>
      </c>
      <c r="I53">
        <v>1.98459259259259</v>
      </c>
      <c r="J53">
        <v>1.9112592592592601</v>
      </c>
      <c r="K53">
        <v>1.71259259259259</v>
      </c>
      <c r="L53">
        <v>10765.9597088787</v>
      </c>
      <c r="M53">
        <v>250</v>
      </c>
      <c r="O53">
        <v>43.0610832683155</v>
      </c>
      <c r="P53">
        <v>0.72571328526219903</v>
      </c>
      <c r="Q53">
        <v>1.5</v>
      </c>
      <c r="R53">
        <v>6.3794929613468401E-2</v>
      </c>
      <c r="S53" t="s">
        <v>1927</v>
      </c>
      <c r="T53" t="s">
        <v>3746</v>
      </c>
      <c r="U53" t="s">
        <v>3746</v>
      </c>
      <c r="V53" t="s">
        <v>3746</v>
      </c>
      <c r="W53" t="s">
        <v>3797</v>
      </c>
      <c r="X53">
        <v>2</v>
      </c>
      <c r="Y53" t="s">
        <v>5654</v>
      </c>
      <c r="Z53" t="s">
        <v>7441</v>
      </c>
      <c r="AA53">
        <v>1.4488982312127501</v>
      </c>
      <c r="AB53" t="str">
        <f>HYPERLINK("Melting_Curves/meltCurve_B1ARP7_C1orf123.pdf", "Melting_Curves/meltCurve_B1ARP7_C1orf123.pdf")</f>
        <v>Melting_Curves/meltCurve_B1ARP7_C1orf123.pdf</v>
      </c>
    </row>
    <row r="54" spans="1:28" x14ac:dyDescent="0.25">
      <c r="A54" t="s">
        <v>58</v>
      </c>
      <c r="B54">
        <v>1</v>
      </c>
      <c r="C54">
        <v>0.78824956723727202</v>
      </c>
      <c r="D54">
        <v>0.90421518294396996</v>
      </c>
      <c r="E54">
        <v>1.1032416517480701</v>
      </c>
      <c r="F54">
        <v>0.57111364275251897</v>
      </c>
      <c r="G54">
        <v>0.67247629052064695</v>
      </c>
      <c r="H54">
        <v>0.41508233588305798</v>
      </c>
      <c r="I54">
        <v>0.64963233662282305</v>
      </c>
      <c r="J54">
        <v>0.68441610321206103</v>
      </c>
      <c r="K54">
        <v>0.60026039740194403</v>
      </c>
      <c r="L54">
        <v>12899.0421731117</v>
      </c>
      <c r="M54">
        <v>250</v>
      </c>
      <c r="O54">
        <v>51.592866889231402</v>
      </c>
      <c r="P54">
        <v>-0.48607321945977</v>
      </c>
      <c r="Q54">
        <v>0.59875342598291104</v>
      </c>
      <c r="R54">
        <v>0.71226787442609296</v>
      </c>
      <c r="S54" t="s">
        <v>1928</v>
      </c>
      <c r="T54" t="s">
        <v>3746</v>
      </c>
      <c r="U54" t="s">
        <v>3746</v>
      </c>
      <c r="V54" t="s">
        <v>3746</v>
      </c>
      <c r="W54" t="s">
        <v>3798</v>
      </c>
      <c r="X54">
        <v>10</v>
      </c>
      <c r="Y54" t="s">
        <v>5655</v>
      </c>
      <c r="Z54" t="s">
        <v>7442</v>
      </c>
      <c r="AA54">
        <v>0.75388719103561141</v>
      </c>
      <c r="AB54" t="str">
        <f>HYPERLINK("Melting_Curves/meltCurve_B1AVQ5_MUC1.pdf", "Melting_Curves/meltCurve_B1AVQ5_MUC1.pdf")</f>
        <v>Melting_Curves/meltCurve_B1AVQ5_MUC1.pdf</v>
      </c>
    </row>
    <row r="55" spans="1:28" x14ac:dyDescent="0.25">
      <c r="A55" t="s">
        <v>59</v>
      </c>
      <c r="B55">
        <v>1</v>
      </c>
      <c r="C55">
        <v>1.25168873084558</v>
      </c>
      <c r="D55">
        <v>1.4499521585764701</v>
      </c>
      <c r="E55">
        <v>1.8076917584222301</v>
      </c>
      <c r="F55">
        <v>1.18328263570541</v>
      </c>
      <c r="G55">
        <v>1.5876212101738001</v>
      </c>
      <c r="H55">
        <v>0.972466189680534</v>
      </c>
      <c r="I55">
        <v>1.6283221227311</v>
      </c>
      <c r="J55">
        <v>1.5047912828642001</v>
      </c>
      <c r="K55">
        <v>1.4012538737272</v>
      </c>
      <c r="L55">
        <v>80.496694111786695</v>
      </c>
      <c r="M55">
        <v>21.8177949940372</v>
      </c>
      <c r="Q55">
        <v>1.37870699685314</v>
      </c>
      <c r="R55">
        <v>4.8624804183106097E-10</v>
      </c>
      <c r="S55" t="s">
        <v>1929</v>
      </c>
      <c r="T55" t="s">
        <v>3746</v>
      </c>
      <c r="U55" t="s">
        <v>3746</v>
      </c>
      <c r="V55" t="s">
        <v>3746</v>
      </c>
      <c r="W55" t="s">
        <v>3799</v>
      </c>
      <c r="X55">
        <v>2</v>
      </c>
      <c r="Y55" t="s">
        <v>5656</v>
      </c>
      <c r="Z55" t="s">
        <v>7443</v>
      </c>
      <c r="AA55">
        <v>1.3787069962665539</v>
      </c>
      <c r="AB55" t="str">
        <f>HYPERLINK("Melting_Curves/meltCurve_B2R9R8_KCTD14.pdf", "Melting_Curves/meltCurve_B2R9R8_KCTD14.pdf")</f>
        <v>Melting_Curves/meltCurve_B2R9R8_KCTD14.pdf</v>
      </c>
    </row>
    <row r="56" spans="1:28" x14ac:dyDescent="0.25">
      <c r="A56" t="s">
        <v>60</v>
      </c>
      <c r="B56">
        <v>1</v>
      </c>
      <c r="C56">
        <v>1.5798535909208999</v>
      </c>
      <c r="D56">
        <v>1.4340942562592001</v>
      </c>
      <c r="E56">
        <v>2.0249285281122802</v>
      </c>
      <c r="F56">
        <v>2.21985185826908</v>
      </c>
      <c r="G56">
        <v>1.8655245603396</v>
      </c>
      <c r="H56">
        <v>1.0833405527159301</v>
      </c>
      <c r="I56">
        <v>1.93493892402322</v>
      </c>
      <c r="J56">
        <v>1.67406653383003</v>
      </c>
      <c r="K56">
        <v>1.5950142943775401</v>
      </c>
      <c r="L56">
        <v>10256.4759523472</v>
      </c>
      <c r="M56">
        <v>250</v>
      </c>
      <c r="O56">
        <v>41.023278602489597</v>
      </c>
      <c r="P56">
        <v>0.76176261960074099</v>
      </c>
      <c r="Q56">
        <v>1.5</v>
      </c>
      <c r="R56">
        <v>3.6474653812879503E-2</v>
      </c>
      <c r="S56" t="s">
        <v>1930</v>
      </c>
      <c r="T56" t="s">
        <v>3746</v>
      </c>
      <c r="U56" t="s">
        <v>3746</v>
      </c>
      <c r="V56" t="s">
        <v>3746</v>
      </c>
      <c r="W56" t="s">
        <v>3800</v>
      </c>
      <c r="X56">
        <v>1</v>
      </c>
      <c r="Y56" t="s">
        <v>5657</v>
      </c>
      <c r="Z56" t="s">
        <v>7444</v>
      </c>
      <c r="AA56">
        <v>1.4828613707437099</v>
      </c>
      <c r="AB56" t="str">
        <f>HYPERLINK("Melting_Curves/meltCurve_B3KRD8_SEC14L2.pdf", "Melting_Curves/meltCurve_B3KRD8_SEC14L2.pdf")</f>
        <v>Melting_Curves/meltCurve_B3KRD8_SEC14L2.pdf</v>
      </c>
    </row>
    <row r="57" spans="1:28" x14ac:dyDescent="0.25">
      <c r="A57" t="s">
        <v>61</v>
      </c>
      <c r="B57">
        <v>1</v>
      </c>
      <c r="C57">
        <v>1.0908440629470699</v>
      </c>
      <c r="D57">
        <v>1.4393776824034299</v>
      </c>
      <c r="E57">
        <v>1.6908082975679499</v>
      </c>
      <c r="F57">
        <v>1.32975679542203</v>
      </c>
      <c r="G57">
        <v>1.35506080114449</v>
      </c>
      <c r="H57">
        <v>0.84399141630901298</v>
      </c>
      <c r="I57">
        <v>1.3172389127324799</v>
      </c>
      <c r="J57">
        <v>1.23399499284692</v>
      </c>
      <c r="K57">
        <v>1.1646101573676699</v>
      </c>
      <c r="L57">
        <v>10760.1257999269</v>
      </c>
      <c r="M57">
        <v>250</v>
      </c>
      <c r="O57">
        <v>43.037726948411198</v>
      </c>
      <c r="P57">
        <v>0.43109666553023002</v>
      </c>
      <c r="Q57">
        <v>1.2968548814941201</v>
      </c>
      <c r="R57">
        <v>0.20553696145293801</v>
      </c>
      <c r="S57" t="s">
        <v>1931</v>
      </c>
      <c r="T57" t="s">
        <v>3746</v>
      </c>
      <c r="U57" t="s">
        <v>3746</v>
      </c>
      <c r="V57" t="s">
        <v>3746</v>
      </c>
      <c r="W57" t="s">
        <v>3801</v>
      </c>
      <c r="X57">
        <v>7</v>
      </c>
      <c r="Y57" t="s">
        <v>5658</v>
      </c>
      <c r="Z57" t="s">
        <v>7445</v>
      </c>
      <c r="AA57">
        <v>1.2667461845287551</v>
      </c>
      <c r="AB57" t="str">
        <f>HYPERLINK("Melting_Curves/meltCurve_B3KUE5_PLTP.pdf", "Melting_Curves/meltCurve_B3KUE5_PLTP.pdf")</f>
        <v>Melting_Curves/meltCurve_B3KUE5_PLTP.pdf</v>
      </c>
    </row>
    <row r="58" spans="1:28" x14ac:dyDescent="0.25">
      <c r="A58" t="s">
        <v>62</v>
      </c>
      <c r="B58">
        <v>1</v>
      </c>
      <c r="C58">
        <v>0.93416641937859302</v>
      </c>
      <c r="D58">
        <v>1.0917163990460199</v>
      </c>
      <c r="E58">
        <v>1.0736698649257601</v>
      </c>
      <c r="F58">
        <v>0.96396188466484201</v>
      </c>
      <c r="G58">
        <v>1.01186982755778</v>
      </c>
      <c r="H58">
        <v>0.46411025750931501</v>
      </c>
      <c r="I58">
        <v>0.78942046666007204</v>
      </c>
      <c r="J58">
        <v>0.78111158736962405</v>
      </c>
      <c r="K58">
        <v>0.75625089298471204</v>
      </c>
      <c r="L58">
        <v>9766.9918000759899</v>
      </c>
      <c r="M58">
        <v>167.087863322224</v>
      </c>
      <c r="O58">
        <v>58.445855326013202</v>
      </c>
      <c r="P58">
        <v>-0.216012307307792</v>
      </c>
      <c r="Q58">
        <v>0.69776324111066002</v>
      </c>
      <c r="R58">
        <v>0.71743847986959597</v>
      </c>
      <c r="S58" t="s">
        <v>1932</v>
      </c>
      <c r="T58" t="s">
        <v>3746</v>
      </c>
      <c r="U58" t="s">
        <v>3746</v>
      </c>
      <c r="V58" t="s">
        <v>3746</v>
      </c>
      <c r="W58" t="s">
        <v>3802</v>
      </c>
      <c r="X58">
        <v>5</v>
      </c>
      <c r="Y58" t="s">
        <v>5659</v>
      </c>
      <c r="Z58" t="s">
        <v>7446</v>
      </c>
      <c r="AA58">
        <v>0.88375085724429825</v>
      </c>
      <c r="AB58" t="str">
        <f>HYPERLINK("Melting_Curves/meltCurve_B3KUK2_SOD2.pdf", "Melting_Curves/meltCurve_B3KUK2_SOD2.pdf")</f>
        <v>Melting_Curves/meltCurve_B3KUK2_SOD2.pdf</v>
      </c>
    </row>
    <row r="59" spans="1:28" x14ac:dyDescent="0.25">
      <c r="A59" t="s">
        <v>63</v>
      </c>
      <c r="B59">
        <v>1</v>
      </c>
      <c r="C59">
        <v>1.12282878411911</v>
      </c>
      <c r="D59">
        <v>1.5208474321377501</v>
      </c>
      <c r="E59">
        <v>2.1853146853146801</v>
      </c>
      <c r="F59">
        <v>1.98887134371005</v>
      </c>
      <c r="G59">
        <v>2.3804421385066501</v>
      </c>
      <c r="H59">
        <v>1.42884803368674</v>
      </c>
      <c r="I59">
        <v>2.4526280171441499</v>
      </c>
      <c r="J59">
        <v>2.49812015941048</v>
      </c>
      <c r="K59">
        <v>2.3287465222949102</v>
      </c>
      <c r="S59" t="s">
        <v>1933</v>
      </c>
      <c r="T59" t="s">
        <v>3746</v>
      </c>
      <c r="U59" t="s">
        <v>3747</v>
      </c>
      <c r="V59" t="s">
        <v>3746</v>
      </c>
      <c r="W59" t="s">
        <v>3803</v>
      </c>
      <c r="X59">
        <v>1</v>
      </c>
      <c r="Y59" t="s">
        <v>5660</v>
      </c>
      <c r="Z59" t="s">
        <v>7447</v>
      </c>
      <c r="AB59" t="str">
        <f>HYPERLINK("Melting_Curves/meltCurve_B3KVN2_FNTA.pdf", "Melting_Curves/meltCurve_B3KVN2_FNTA.pdf")</f>
        <v>Melting_Curves/meltCurve_B3KVN2_FNTA.pdf</v>
      </c>
    </row>
    <row r="60" spans="1:28" x14ac:dyDescent="0.25">
      <c r="A60" t="s">
        <v>64</v>
      </c>
      <c r="B60">
        <v>1</v>
      </c>
      <c r="C60">
        <v>1.0174669037739601</v>
      </c>
      <c r="D60">
        <v>1.15803200948429</v>
      </c>
      <c r="E60">
        <v>1.3977869986168701</v>
      </c>
      <c r="F60">
        <v>0.97198182177435299</v>
      </c>
      <c r="G60">
        <v>1.10499901205295</v>
      </c>
      <c r="H60">
        <v>0.76281367318711701</v>
      </c>
      <c r="I60">
        <v>1.3753803596127201</v>
      </c>
      <c r="J60">
        <v>1.1572811697293</v>
      </c>
      <c r="K60">
        <v>1.1322663505236099</v>
      </c>
      <c r="L60">
        <v>10805.8877926282</v>
      </c>
      <c r="M60">
        <v>250</v>
      </c>
      <c r="O60">
        <v>43.220773684041099</v>
      </c>
      <c r="P60">
        <v>0.19170127972408699</v>
      </c>
      <c r="Q60">
        <v>1.1325676771733699</v>
      </c>
      <c r="R60">
        <v>7.7511497719194106E-2</v>
      </c>
      <c r="S60" t="s">
        <v>1934</v>
      </c>
      <c r="T60" t="s">
        <v>3746</v>
      </c>
      <c r="U60" t="s">
        <v>3746</v>
      </c>
      <c r="V60" t="s">
        <v>3746</v>
      </c>
      <c r="W60" t="s">
        <v>3804</v>
      </c>
      <c r="X60">
        <v>1</v>
      </c>
      <c r="Y60" t="s">
        <v>5661</v>
      </c>
      <c r="Z60" t="s">
        <v>7448</v>
      </c>
      <c r="AA60">
        <v>1.1183129980002411</v>
      </c>
      <c r="AB60" t="str">
        <f>HYPERLINK("Melting_Curves/meltCurve_B3KW71_QDPR.pdf", "Melting_Curves/meltCurve_B3KW71_QDPR.pdf")</f>
        <v>Melting_Curves/meltCurve_B3KW71_QDPR.pdf</v>
      </c>
    </row>
    <row r="61" spans="1:28" x14ac:dyDescent="0.25">
      <c r="A61" t="s">
        <v>65</v>
      </c>
      <c r="B61">
        <v>1</v>
      </c>
      <c r="C61">
        <v>1.00955845034681</v>
      </c>
      <c r="D61">
        <v>1.5555743529013699</v>
      </c>
      <c r="E61">
        <v>1.8474877347318599</v>
      </c>
      <c r="F61">
        <v>1.9330908475723201</v>
      </c>
      <c r="G61">
        <v>2.1446455760446601</v>
      </c>
      <c r="H61">
        <v>1.67932667907291</v>
      </c>
      <c r="I61">
        <v>3.05227541871088</v>
      </c>
      <c r="J61">
        <v>3.1619861275587899</v>
      </c>
      <c r="K61">
        <v>2.9914566063271901</v>
      </c>
      <c r="L61">
        <v>10893.911124399599</v>
      </c>
      <c r="M61">
        <v>250</v>
      </c>
      <c r="O61">
        <v>43.572866811042097</v>
      </c>
      <c r="P61">
        <v>0.717189620195676</v>
      </c>
      <c r="Q61">
        <v>1.5</v>
      </c>
      <c r="R61">
        <v>-0.41674917603605699</v>
      </c>
      <c r="S61" t="s">
        <v>1935</v>
      </c>
      <c r="T61" t="s">
        <v>3746</v>
      </c>
      <c r="U61" t="s">
        <v>3746</v>
      </c>
      <c r="V61" t="s">
        <v>3746</v>
      </c>
      <c r="W61" t="s">
        <v>3805</v>
      </c>
      <c r="X61">
        <v>5</v>
      </c>
      <c r="Y61" t="s">
        <v>5662</v>
      </c>
      <c r="Z61" t="s">
        <v>7449</v>
      </c>
      <c r="AA61">
        <v>1.4403676877505951</v>
      </c>
      <c r="AB61" t="str">
        <f>HYPERLINK("Melting_Curves/meltCurve_B3KWE1_HARS.pdf", "Melting_Curves/meltCurve_B3KWE1_HARS.pdf")</f>
        <v>Melting_Curves/meltCurve_B3KWE1_HARS.pdf</v>
      </c>
    </row>
    <row r="62" spans="1:28" x14ac:dyDescent="0.25">
      <c r="A62" t="s">
        <v>66</v>
      </c>
      <c r="B62">
        <v>1</v>
      </c>
      <c r="C62">
        <v>1.2989525749199899</v>
      </c>
      <c r="D62">
        <v>1.81968286296189</v>
      </c>
      <c r="E62">
        <v>2.2025021821355799</v>
      </c>
      <c r="F62">
        <v>1.5919406459121299</v>
      </c>
      <c r="G62">
        <v>1.8016438754727999</v>
      </c>
      <c r="H62">
        <v>0.98305208030258995</v>
      </c>
      <c r="I62">
        <v>1.84208612161769</v>
      </c>
      <c r="J62">
        <v>1.69173697992435</v>
      </c>
      <c r="K62">
        <v>1.6731160896130299</v>
      </c>
      <c r="L62">
        <v>10707.979662408499</v>
      </c>
      <c r="M62">
        <v>250</v>
      </c>
      <c r="O62">
        <v>42.829177549439599</v>
      </c>
      <c r="P62">
        <v>0.72964277442186898</v>
      </c>
      <c r="Q62">
        <v>1.5</v>
      </c>
      <c r="R62">
        <v>0.153958914693403</v>
      </c>
      <c r="S62" t="s">
        <v>1936</v>
      </c>
      <c r="T62" t="s">
        <v>3746</v>
      </c>
      <c r="U62" t="s">
        <v>3746</v>
      </c>
      <c r="V62" t="s">
        <v>3746</v>
      </c>
      <c r="W62" t="s">
        <v>3806</v>
      </c>
      <c r="X62">
        <v>2</v>
      </c>
      <c r="Y62" t="s">
        <v>5663</v>
      </c>
      <c r="Z62" t="s">
        <v>7450</v>
      </c>
      <c r="AA62">
        <v>1.452763771113279</v>
      </c>
      <c r="AB62" t="str">
        <f>HYPERLINK("Melting_Curves/meltCurve_B4DDD6_DBNL.pdf", "Melting_Curves/meltCurve_B4DDD6_DBNL.pdf")</f>
        <v>Melting_Curves/meltCurve_B4DDD6_DBNL.pdf</v>
      </c>
    </row>
    <row r="63" spans="1:28" x14ac:dyDescent="0.25">
      <c r="A63" t="s">
        <v>67</v>
      </c>
      <c r="B63">
        <v>1</v>
      </c>
      <c r="C63">
        <v>1.05530573215486</v>
      </c>
      <c r="D63">
        <v>1.6721972398821501</v>
      </c>
      <c r="E63">
        <v>3.5154287486431999</v>
      </c>
      <c r="F63">
        <v>2.8782240140590298</v>
      </c>
      <c r="G63">
        <v>3.5651005323822802</v>
      </c>
      <c r="H63">
        <v>2.9836667183542702</v>
      </c>
      <c r="I63">
        <v>3.5300046518840098</v>
      </c>
      <c r="J63">
        <v>3.9489843386571599</v>
      </c>
      <c r="K63">
        <v>3.4745955445288699</v>
      </c>
      <c r="L63">
        <v>10814.425028997601</v>
      </c>
      <c r="M63">
        <v>250</v>
      </c>
      <c r="O63">
        <v>43.254930172422497</v>
      </c>
      <c r="P63">
        <v>0.72246096932435999</v>
      </c>
      <c r="Q63">
        <v>1.5</v>
      </c>
      <c r="R63">
        <v>-1.40963152743529</v>
      </c>
      <c r="S63" t="s">
        <v>1937</v>
      </c>
      <c r="T63" t="s">
        <v>3746</v>
      </c>
      <c r="U63" t="s">
        <v>3746</v>
      </c>
      <c r="V63" t="s">
        <v>3746</v>
      </c>
      <c r="W63" t="s">
        <v>3807</v>
      </c>
      <c r="X63">
        <v>2</v>
      </c>
      <c r="Y63" t="s">
        <v>5664</v>
      </c>
      <c r="Z63" t="s">
        <v>7451</v>
      </c>
      <c r="AA63">
        <v>1.4456670397680771</v>
      </c>
      <c r="AB63" t="str">
        <f>HYPERLINK("Melting_Curves/meltCurve_B4DE40_SMS.pdf", "Melting_Curves/meltCurve_B4DE40_SMS.pdf")</f>
        <v>Melting_Curves/meltCurve_B4DE40_SMS.pdf</v>
      </c>
    </row>
    <row r="64" spans="1:28" x14ac:dyDescent="0.25">
      <c r="A64" t="s">
        <v>68</v>
      </c>
      <c r="B64">
        <v>1</v>
      </c>
      <c r="C64">
        <v>1.0316356446444399</v>
      </c>
      <c r="D64">
        <v>1.7568009817958701</v>
      </c>
      <c r="E64">
        <v>2.2755846458034998</v>
      </c>
      <c r="F64">
        <v>2.0181359514556498</v>
      </c>
      <c r="G64">
        <v>2.0281584509443</v>
      </c>
      <c r="H64">
        <v>1.43246744392173</v>
      </c>
      <c r="I64">
        <v>2.2444944433081102</v>
      </c>
      <c r="J64">
        <v>2.2637212790618402</v>
      </c>
      <c r="K64">
        <v>2.01677234608304</v>
      </c>
      <c r="L64">
        <v>10840.610409976</v>
      </c>
      <c r="M64">
        <v>250</v>
      </c>
      <c r="O64">
        <v>43.359667797219103</v>
      </c>
      <c r="P64">
        <v>0.72071587242648605</v>
      </c>
      <c r="Q64">
        <v>1.5</v>
      </c>
      <c r="R64">
        <v>-0.21918797300100601</v>
      </c>
      <c r="S64" t="s">
        <v>1938</v>
      </c>
      <c r="T64" t="s">
        <v>3746</v>
      </c>
      <c r="U64" t="s">
        <v>3746</v>
      </c>
      <c r="V64" t="s">
        <v>3746</v>
      </c>
      <c r="W64" t="s">
        <v>3808</v>
      </c>
      <c r="X64">
        <v>6</v>
      </c>
      <c r="Y64" t="s">
        <v>5665</v>
      </c>
      <c r="Z64" t="s">
        <v>7452</v>
      </c>
      <c r="AA64">
        <v>1.4439212557946799</v>
      </c>
      <c r="AB64" t="str">
        <f>HYPERLINK("Melting_Curves/meltCurve_B4DEK4_SNX2.pdf", "Melting_Curves/meltCurve_B4DEK4_SNX2.pdf")</f>
        <v>Melting_Curves/meltCurve_B4DEK4_SNX2.pdf</v>
      </c>
    </row>
    <row r="65" spans="1:28" x14ac:dyDescent="0.25">
      <c r="A65" t="s">
        <v>69</v>
      </c>
      <c r="B65">
        <v>1</v>
      </c>
      <c r="C65">
        <v>1.0727480820472499</v>
      </c>
      <c r="D65">
        <v>1.6949516264597</v>
      </c>
      <c r="E65">
        <v>2.4224324469321701</v>
      </c>
      <c r="F65">
        <v>1.9394123643126699</v>
      </c>
      <c r="G65">
        <v>2.4794792467676499</v>
      </c>
      <c r="H65">
        <v>1.93762406337739</v>
      </c>
      <c r="I65">
        <v>2.84894221999678</v>
      </c>
      <c r="J65">
        <v>2.9067043402063701</v>
      </c>
      <c r="K65">
        <v>2.82944973980221</v>
      </c>
      <c r="S65" t="s">
        <v>1939</v>
      </c>
      <c r="T65" t="s">
        <v>3746</v>
      </c>
      <c r="U65" t="s">
        <v>3747</v>
      </c>
      <c r="V65" t="s">
        <v>3746</v>
      </c>
      <c r="W65" t="s">
        <v>3809</v>
      </c>
      <c r="X65">
        <v>12</v>
      </c>
      <c r="Y65" t="s">
        <v>5666</v>
      </c>
      <c r="Z65" t="s">
        <v>7453</v>
      </c>
      <c r="AB65" t="str">
        <f>HYPERLINK("Melting_Curves/meltCurve_B4DEM7_CCT8.pdf", "Melting_Curves/meltCurve_B4DEM7_CCT8.pdf")</f>
        <v>Melting_Curves/meltCurve_B4DEM7_CCT8.pdf</v>
      </c>
    </row>
    <row r="66" spans="1:28" x14ac:dyDescent="0.25">
      <c r="A66" t="s">
        <v>70</v>
      </c>
      <c r="B66">
        <v>1</v>
      </c>
      <c r="C66">
        <v>1.0241755315214001</v>
      </c>
      <c r="D66">
        <v>1.2120463389013001</v>
      </c>
      <c r="E66">
        <v>1.55779786651674</v>
      </c>
      <c r="F66">
        <v>0.86562902247407103</v>
      </c>
      <c r="G66">
        <v>0.82195327642071903</v>
      </c>
      <c r="H66">
        <v>0.74958943023272995</v>
      </c>
      <c r="I66">
        <v>0.89730577460829397</v>
      </c>
      <c r="J66">
        <v>0.90131530278595595</v>
      </c>
      <c r="K66">
        <v>0.86886919469144397</v>
      </c>
      <c r="L66">
        <v>13142.9891790983</v>
      </c>
      <c r="M66">
        <v>250</v>
      </c>
      <c r="O66">
        <v>52.568593626049697</v>
      </c>
      <c r="P66">
        <v>-0.180948988099215</v>
      </c>
      <c r="Q66">
        <v>0.84780426239464102</v>
      </c>
      <c r="R66">
        <v>0.26274185872683198</v>
      </c>
      <c r="S66" t="s">
        <v>1940</v>
      </c>
      <c r="T66" t="s">
        <v>3746</v>
      </c>
      <c r="U66" t="s">
        <v>3746</v>
      </c>
      <c r="V66" t="s">
        <v>3746</v>
      </c>
      <c r="W66" t="s">
        <v>3810</v>
      </c>
      <c r="X66">
        <v>1</v>
      </c>
      <c r="Y66" t="s">
        <v>5667</v>
      </c>
      <c r="Z66" t="s">
        <v>7454</v>
      </c>
      <c r="AA66">
        <v>0.91159824527791733</v>
      </c>
      <c r="AB66" t="str">
        <f>HYPERLINK("Melting_Curves/meltCurve_B4DF51_CD33.pdf", "Melting_Curves/meltCurve_B4DF51_CD33.pdf")</f>
        <v>Melting_Curves/meltCurve_B4DF51_CD33.pdf</v>
      </c>
    </row>
    <row r="67" spans="1:28" x14ac:dyDescent="0.25">
      <c r="A67" t="s">
        <v>71</v>
      </c>
      <c r="B67">
        <v>1</v>
      </c>
      <c r="C67">
        <v>1.07074607329843</v>
      </c>
      <c r="D67">
        <v>1.2924083769633501</v>
      </c>
      <c r="E67">
        <v>1.60045811518325</v>
      </c>
      <c r="F67">
        <v>1.22931937172775</v>
      </c>
      <c r="G67">
        <v>1.32100785340314</v>
      </c>
      <c r="H67">
        <v>0.91276178010471198</v>
      </c>
      <c r="I67">
        <v>1.27146596858639</v>
      </c>
      <c r="J67">
        <v>1.3439136125654401</v>
      </c>
      <c r="K67">
        <v>1.2759162303664899</v>
      </c>
      <c r="L67">
        <v>10771.7083877237</v>
      </c>
      <c r="M67">
        <v>250</v>
      </c>
      <c r="O67">
        <v>43.084076387972203</v>
      </c>
      <c r="P67">
        <v>0.407497448086444</v>
      </c>
      <c r="Q67">
        <v>1.2809064178626199</v>
      </c>
      <c r="R67">
        <v>0.28676864832279397</v>
      </c>
      <c r="S67" t="s">
        <v>1941</v>
      </c>
      <c r="T67" t="s">
        <v>3746</v>
      </c>
      <c r="U67" t="s">
        <v>3746</v>
      </c>
      <c r="V67" t="s">
        <v>3746</v>
      </c>
      <c r="W67" t="s">
        <v>3811</v>
      </c>
      <c r="X67">
        <v>2</v>
      </c>
      <c r="Y67" t="s">
        <v>5668</v>
      </c>
      <c r="Z67" t="s">
        <v>7455</v>
      </c>
      <c r="AA67">
        <v>1.251981464790255</v>
      </c>
      <c r="AB67" t="str">
        <f>HYPERLINK("Melting_Curves/meltCurve_B4DFC9_NAPG.pdf", "Melting_Curves/meltCurve_B4DFC9_NAPG.pdf")</f>
        <v>Melting_Curves/meltCurve_B4DFC9_NAPG.pdf</v>
      </c>
    </row>
    <row r="68" spans="1:28" x14ac:dyDescent="0.25">
      <c r="A68" t="s">
        <v>72</v>
      </c>
      <c r="B68">
        <v>1</v>
      </c>
      <c r="C68">
        <v>1.08230955501744</v>
      </c>
      <c r="D68">
        <v>2.2055850532068502</v>
      </c>
      <c r="E68">
        <v>2.7805300690911499</v>
      </c>
      <c r="F68">
        <v>1.7349654544242801</v>
      </c>
      <c r="G68">
        <v>1.8136760491413599</v>
      </c>
      <c r="H68">
        <v>1.26716726279075</v>
      </c>
      <c r="I68">
        <v>2.1055472863395002</v>
      </c>
      <c r="J68">
        <v>2.0558949636771602</v>
      </c>
      <c r="K68">
        <v>1.8513318374691801</v>
      </c>
      <c r="L68">
        <v>10794.679816252001</v>
      </c>
      <c r="M68">
        <v>250</v>
      </c>
      <c r="O68">
        <v>43.175944443151003</v>
      </c>
      <c r="P68">
        <v>0.72378246630700405</v>
      </c>
      <c r="Q68">
        <v>1.5</v>
      </c>
      <c r="R68">
        <v>-0.15195474272714801</v>
      </c>
      <c r="S68" t="s">
        <v>1942</v>
      </c>
      <c r="T68" t="s">
        <v>3746</v>
      </c>
      <c r="U68" t="s">
        <v>3746</v>
      </c>
      <c r="V68" t="s">
        <v>3746</v>
      </c>
      <c r="W68" t="s">
        <v>3812</v>
      </c>
      <c r="X68">
        <v>2</v>
      </c>
      <c r="Y68" t="s">
        <v>5669</v>
      </c>
      <c r="Z68" t="s">
        <v>7456</v>
      </c>
      <c r="AA68">
        <v>1.4469834565872759</v>
      </c>
      <c r="AB68" t="str">
        <f>HYPERLINK("Melting_Curves/meltCurve_B4DIT7_TGM2.pdf", "Melting_Curves/meltCurve_B4DIT7_TGM2.pdf")</f>
        <v>Melting_Curves/meltCurve_B4DIT7_TGM2.pdf</v>
      </c>
    </row>
    <row r="69" spans="1:28" x14ac:dyDescent="0.25">
      <c r="A69" t="s">
        <v>73</v>
      </c>
      <c r="B69">
        <v>1</v>
      </c>
      <c r="C69">
        <v>1.2178500936282199</v>
      </c>
      <c r="D69">
        <v>1.40938306594463</v>
      </c>
      <c r="E69">
        <v>1.79224657118275</v>
      </c>
      <c r="F69">
        <v>1.55949187711929</v>
      </c>
      <c r="G69">
        <v>1.57905258363277</v>
      </c>
      <c r="H69">
        <v>0.69866896097980702</v>
      </c>
      <c r="I69">
        <v>1.60205475985627</v>
      </c>
      <c r="J69">
        <v>1.6258666936585899</v>
      </c>
      <c r="K69">
        <v>1.4989878030264701</v>
      </c>
      <c r="L69">
        <v>1902.0852841149001</v>
      </c>
      <c r="M69">
        <v>44.1109922732185</v>
      </c>
      <c r="O69">
        <v>43.032102905441903</v>
      </c>
      <c r="P69">
        <v>0.121708610450191</v>
      </c>
      <c r="Q69">
        <v>1.4749264519146601</v>
      </c>
      <c r="R69">
        <v>0.235383144776459</v>
      </c>
      <c r="S69" t="s">
        <v>1943</v>
      </c>
      <c r="T69" t="s">
        <v>3746</v>
      </c>
      <c r="U69" t="s">
        <v>3746</v>
      </c>
      <c r="V69" t="s">
        <v>3746</v>
      </c>
      <c r="W69" t="s">
        <v>3813</v>
      </c>
      <c r="X69">
        <v>2</v>
      </c>
      <c r="Y69" t="s">
        <v>5670</v>
      </c>
      <c r="Z69" t="s">
        <v>7457</v>
      </c>
      <c r="AA69">
        <v>1.4239616024865449</v>
      </c>
      <c r="AB69" t="str">
        <f>HYPERLINK("Melting_Curves/meltCurve_B4DIU3_PADI2.pdf", "Melting_Curves/meltCurve_B4DIU3_PADI2.pdf")</f>
        <v>Melting_Curves/meltCurve_B4DIU3_PADI2.pdf</v>
      </c>
    </row>
    <row r="70" spans="1:28" x14ac:dyDescent="0.25">
      <c r="A70" t="s">
        <v>74</v>
      </c>
      <c r="B70">
        <v>1</v>
      </c>
      <c r="C70">
        <v>1.0508517437182501</v>
      </c>
      <c r="D70">
        <v>1.8033288121566</v>
      </c>
      <c r="E70">
        <v>2.4395963125589102</v>
      </c>
      <c r="F70">
        <v>1.7274649991953801</v>
      </c>
      <c r="G70">
        <v>2.3324674130439802</v>
      </c>
      <c r="H70">
        <v>1.4848157428906399</v>
      </c>
      <c r="I70">
        <v>2.4202855238051399</v>
      </c>
      <c r="J70">
        <v>2.3823536173245401</v>
      </c>
      <c r="K70">
        <v>2.1651532219131502</v>
      </c>
      <c r="S70" t="s">
        <v>1944</v>
      </c>
      <c r="T70" t="s">
        <v>3746</v>
      </c>
      <c r="U70" t="s">
        <v>3747</v>
      </c>
      <c r="V70" t="s">
        <v>3746</v>
      </c>
      <c r="W70" t="s">
        <v>3814</v>
      </c>
      <c r="X70">
        <v>5</v>
      </c>
      <c r="Y70" t="s">
        <v>5671</v>
      </c>
      <c r="Z70" t="s">
        <v>7458</v>
      </c>
      <c r="AB70" t="str">
        <f>HYPERLINK("Melting_Curves/meltCurve_B4DJA5_RAB5A.pdf", "Melting_Curves/meltCurve_B4DJA5_RAB5A.pdf")</f>
        <v>Melting_Curves/meltCurve_B4DJA5_RAB5A.pdf</v>
      </c>
    </row>
    <row r="71" spans="1:28" x14ac:dyDescent="0.25">
      <c r="A71" t="s">
        <v>75</v>
      </c>
      <c r="B71">
        <v>1</v>
      </c>
      <c r="C71">
        <v>1.0546095773406099</v>
      </c>
      <c r="D71">
        <v>1.5524696460388301</v>
      </c>
      <c r="E71">
        <v>1.92538711632777</v>
      </c>
      <c r="F71">
        <v>1.38467331606693</v>
      </c>
      <c r="G71">
        <v>1.63193181609449</v>
      </c>
      <c r="H71">
        <v>0.88203743502139897</v>
      </c>
      <c r="I71">
        <v>2.1215627927481102</v>
      </c>
      <c r="J71">
        <v>1.8970996124244599</v>
      </c>
      <c r="K71">
        <v>1.8012159952976601</v>
      </c>
      <c r="L71">
        <v>10815.0358822503</v>
      </c>
      <c r="M71">
        <v>250</v>
      </c>
      <c r="O71">
        <v>43.257373456974904</v>
      </c>
      <c r="P71">
        <v>0.72242016339162696</v>
      </c>
      <c r="Q71">
        <v>1.5</v>
      </c>
      <c r="R71">
        <v>0.26422021113292798</v>
      </c>
      <c r="S71" t="s">
        <v>1945</v>
      </c>
      <c r="T71" t="s">
        <v>3746</v>
      </c>
      <c r="U71" t="s">
        <v>3746</v>
      </c>
      <c r="V71" t="s">
        <v>3746</v>
      </c>
      <c r="W71" t="s">
        <v>3815</v>
      </c>
      <c r="X71">
        <v>2</v>
      </c>
      <c r="Y71" t="s">
        <v>5672</v>
      </c>
      <c r="Z71" t="s">
        <v>7459</v>
      </c>
      <c r="AA71">
        <v>1.445626314073875</v>
      </c>
      <c r="AB71" t="str">
        <f>HYPERLINK("Melting_Curves/meltCurve_B4DJS7_SNX6.pdf", "Melting_Curves/meltCurve_B4DJS7_SNX6.pdf")</f>
        <v>Melting_Curves/meltCurve_B4DJS7_SNX6.pdf</v>
      </c>
    </row>
    <row r="72" spans="1:28" x14ac:dyDescent="0.25">
      <c r="A72" t="s">
        <v>76</v>
      </c>
      <c r="B72">
        <v>1</v>
      </c>
      <c r="C72">
        <v>1.1094058774781701</v>
      </c>
      <c r="D72">
        <v>1.4050965767833199</v>
      </c>
      <c r="E72">
        <v>1.8075476509211399</v>
      </c>
      <c r="F72">
        <v>1.27961050551412</v>
      </c>
      <c r="G72">
        <v>1.2278797730605</v>
      </c>
      <c r="H72">
        <v>0.98734621023777602</v>
      </c>
      <c r="I72">
        <v>1.3609358067189401</v>
      </c>
      <c r="J72">
        <v>1.4449066105692601</v>
      </c>
      <c r="K72">
        <v>1.3516287371709099</v>
      </c>
      <c r="L72">
        <v>10760.2309886532</v>
      </c>
      <c r="M72">
        <v>250</v>
      </c>
      <c r="O72">
        <v>43.038146129693402</v>
      </c>
      <c r="P72">
        <v>0.52006014218964802</v>
      </c>
      <c r="Q72">
        <v>1.35811898705127</v>
      </c>
      <c r="R72">
        <v>0.29160285708043099</v>
      </c>
      <c r="S72" t="s">
        <v>1946</v>
      </c>
      <c r="T72" t="s">
        <v>3746</v>
      </c>
      <c r="U72" t="s">
        <v>3746</v>
      </c>
      <c r="V72" t="s">
        <v>3746</v>
      </c>
      <c r="W72" t="s">
        <v>3816</v>
      </c>
      <c r="X72">
        <v>14</v>
      </c>
      <c r="Y72" t="s">
        <v>5673</v>
      </c>
      <c r="Z72" t="s">
        <v>7460</v>
      </c>
      <c r="AA72">
        <v>1.3217915159004689</v>
      </c>
      <c r="AB72" t="str">
        <f>HYPERLINK("Melting_Curves/meltCurve_B4DKL4_LSR.pdf", "Melting_Curves/meltCurve_B4DKL4_LSR.pdf")</f>
        <v>Melting_Curves/meltCurve_B4DKL4_LSR.pdf</v>
      </c>
    </row>
    <row r="73" spans="1:28" x14ac:dyDescent="0.25">
      <c r="A73" t="s">
        <v>77</v>
      </c>
      <c r="B73">
        <v>1</v>
      </c>
      <c r="C73">
        <v>1.0420432782660101</v>
      </c>
      <c r="D73">
        <v>1.5820371928191701</v>
      </c>
      <c r="E73">
        <v>1.96058778257056</v>
      </c>
      <c r="F73">
        <v>1.35755579817795</v>
      </c>
      <c r="G73">
        <v>1.90796656583917</v>
      </c>
      <c r="H73">
        <v>0.97274077786329205</v>
      </c>
      <c r="I73">
        <v>1.73805731059047</v>
      </c>
      <c r="J73">
        <v>1.6517334574287199</v>
      </c>
      <c r="K73">
        <v>1.53372948398991</v>
      </c>
      <c r="L73">
        <v>10827.4479342881</v>
      </c>
      <c r="M73">
        <v>250</v>
      </c>
      <c r="O73">
        <v>43.307036860572502</v>
      </c>
      <c r="P73">
        <v>0.72159201491382297</v>
      </c>
      <c r="Q73">
        <v>1.5</v>
      </c>
      <c r="R73">
        <v>0.37224696563570198</v>
      </c>
      <c r="S73" t="s">
        <v>1947</v>
      </c>
      <c r="T73" t="s">
        <v>3746</v>
      </c>
      <c r="U73" t="s">
        <v>3746</v>
      </c>
      <c r="V73" t="s">
        <v>3746</v>
      </c>
      <c r="W73" t="s">
        <v>3817</v>
      </c>
      <c r="X73">
        <v>6</v>
      </c>
      <c r="Y73" t="s">
        <v>5674</v>
      </c>
      <c r="Z73" t="s">
        <v>7461</v>
      </c>
      <c r="AA73">
        <v>1.4447988003730341</v>
      </c>
      <c r="AB73" t="str">
        <f>HYPERLINK("Melting_Curves/meltCurve_B4DLC0_PCBP2.pdf", "Melting_Curves/meltCurve_B4DLC0_PCBP2.pdf")</f>
        <v>Melting_Curves/meltCurve_B4DLC0_PCBP2.pdf</v>
      </c>
    </row>
    <row r="74" spans="1:28" x14ac:dyDescent="0.25">
      <c r="A74" t="s">
        <v>78</v>
      </c>
      <c r="B74">
        <v>1</v>
      </c>
      <c r="C74">
        <v>1.02941554271034</v>
      </c>
      <c r="D74">
        <v>1.2594894026975001</v>
      </c>
      <c r="E74">
        <v>1.4405427103404</v>
      </c>
      <c r="F74">
        <v>1.1027938342967201</v>
      </c>
      <c r="G74">
        <v>1.1560211946050101</v>
      </c>
      <c r="H74">
        <v>0.651621708413616</v>
      </c>
      <c r="I74">
        <v>1.02893384714194</v>
      </c>
      <c r="J74">
        <v>1.0577874116891499</v>
      </c>
      <c r="K74">
        <v>0.94203596660244104</v>
      </c>
      <c r="L74">
        <v>10748.174739190899</v>
      </c>
      <c r="M74">
        <v>250</v>
      </c>
      <c r="O74">
        <v>42.9899476914578</v>
      </c>
      <c r="P74">
        <v>0.11616560980910901</v>
      </c>
      <c r="Q74">
        <v>1.07990325576715</v>
      </c>
      <c r="R74">
        <v>1.8966137245940099E-2</v>
      </c>
      <c r="S74" t="s">
        <v>1948</v>
      </c>
      <c r="T74" t="s">
        <v>3746</v>
      </c>
      <c r="U74" t="s">
        <v>3746</v>
      </c>
      <c r="V74" t="s">
        <v>3746</v>
      </c>
      <c r="W74" t="s">
        <v>3818</v>
      </c>
      <c r="X74">
        <v>5</v>
      </c>
      <c r="Y74" t="s">
        <v>5675</v>
      </c>
      <c r="Z74" t="s">
        <v>7462</v>
      </c>
      <c r="AA74">
        <v>1.071926347269736</v>
      </c>
      <c r="AB74" t="str">
        <f>HYPERLINK("Melting_Curves/meltCurve_B4DN22_STC1.pdf", "Melting_Curves/meltCurve_B4DN22_STC1.pdf")</f>
        <v>Melting_Curves/meltCurve_B4DN22_STC1.pdf</v>
      </c>
    </row>
    <row r="75" spans="1:28" x14ac:dyDescent="0.25">
      <c r="A75" t="s">
        <v>79</v>
      </c>
      <c r="B75">
        <v>1</v>
      </c>
      <c r="C75">
        <v>0.92991596882574001</v>
      </c>
      <c r="D75">
        <v>1.37152228495131</v>
      </c>
      <c r="E75">
        <v>1.96841937216086</v>
      </c>
      <c r="F75">
        <v>1.7621874228988601</v>
      </c>
      <c r="G75">
        <v>2.1311118528946502</v>
      </c>
      <c r="H75">
        <v>1.65000072565781</v>
      </c>
      <c r="I75">
        <v>2.8486422942397298</v>
      </c>
      <c r="J75">
        <v>2.8412405845899298</v>
      </c>
      <c r="K75">
        <v>2.6130937695020502</v>
      </c>
      <c r="L75">
        <v>11451.1547519714</v>
      </c>
      <c r="M75">
        <v>250</v>
      </c>
      <c r="O75">
        <v>45.801687591734598</v>
      </c>
      <c r="P75">
        <v>0.68228926763791697</v>
      </c>
      <c r="Q75">
        <v>1.5</v>
      </c>
      <c r="R75">
        <v>-0.24819148299714699</v>
      </c>
      <c r="S75" t="s">
        <v>1949</v>
      </c>
      <c r="T75" t="s">
        <v>3746</v>
      </c>
      <c r="U75" t="s">
        <v>3746</v>
      </c>
      <c r="V75" t="s">
        <v>3746</v>
      </c>
      <c r="W75" t="s">
        <v>3819</v>
      </c>
      <c r="X75">
        <v>4</v>
      </c>
      <c r="Y75" t="s">
        <v>5676</v>
      </c>
      <c r="Z75" t="s">
        <v>7463</v>
      </c>
      <c r="AA75">
        <v>1.403216156671832</v>
      </c>
      <c r="AB75" t="str">
        <f>HYPERLINK("Melting_Curves/meltCurve_B4DN45_MAT2A.pdf", "Melting_Curves/meltCurve_B4DN45_MAT2A.pdf")</f>
        <v>Melting_Curves/meltCurve_B4DN45_MAT2A.pdf</v>
      </c>
    </row>
    <row r="76" spans="1:28" x14ac:dyDescent="0.25">
      <c r="A76" t="s">
        <v>80</v>
      </c>
      <c r="B76">
        <v>1</v>
      </c>
      <c r="C76">
        <v>1.0506996297923099</v>
      </c>
      <c r="D76">
        <v>1.6574637635690499</v>
      </c>
      <c r="E76">
        <v>2.3077743615486002</v>
      </c>
      <c r="F76">
        <v>1.72943464893016</v>
      </c>
      <c r="G76">
        <v>1.9182405722532501</v>
      </c>
      <c r="H76">
        <v>1.1278785216791101</v>
      </c>
      <c r="I76">
        <v>1.93035075610215</v>
      </c>
      <c r="J76">
        <v>1.8211081131957101</v>
      </c>
      <c r="K76">
        <v>1.7577335759553201</v>
      </c>
      <c r="L76">
        <v>10818.5975034195</v>
      </c>
      <c r="M76">
        <v>250</v>
      </c>
      <c r="O76">
        <v>43.271620609915402</v>
      </c>
      <c r="P76">
        <v>0.72218233341829796</v>
      </c>
      <c r="Q76">
        <v>1.5</v>
      </c>
      <c r="R76">
        <v>0.16819290845658599</v>
      </c>
      <c r="S76" t="s">
        <v>1950</v>
      </c>
      <c r="T76" t="s">
        <v>3746</v>
      </c>
      <c r="U76" t="s">
        <v>3746</v>
      </c>
      <c r="V76" t="s">
        <v>3746</v>
      </c>
      <c r="W76" t="s">
        <v>3820</v>
      </c>
      <c r="X76">
        <v>5</v>
      </c>
      <c r="Y76" t="s">
        <v>5677</v>
      </c>
      <c r="Z76" t="s">
        <v>7464</v>
      </c>
      <c r="AA76">
        <v>1.445388860161712</v>
      </c>
      <c r="AB76" t="str">
        <f>HYPERLINK("Melting_Curves/meltCurve_B4DNW0_ACY1.pdf", "Melting_Curves/meltCurve_B4DNW0_ACY1.pdf")</f>
        <v>Melting_Curves/meltCurve_B4DNW0_ACY1.pdf</v>
      </c>
    </row>
    <row r="77" spans="1:28" x14ac:dyDescent="0.25">
      <c r="A77" t="s">
        <v>81</v>
      </c>
      <c r="B77">
        <v>1</v>
      </c>
      <c r="C77">
        <v>0.87755572046367603</v>
      </c>
      <c r="D77">
        <v>1.14091967552906</v>
      </c>
      <c r="E77">
        <v>1.2025640369507899</v>
      </c>
      <c r="F77">
        <v>0.90598531180429398</v>
      </c>
      <c r="G77">
        <v>1.0471352900534801</v>
      </c>
      <c r="H77">
        <v>0.50257171370813003</v>
      </c>
      <c r="I77">
        <v>0.95867345633204504</v>
      </c>
      <c r="J77">
        <v>1.06637836177998</v>
      </c>
      <c r="K77">
        <v>0.73264413111901505</v>
      </c>
      <c r="L77">
        <v>4894.3400142903602</v>
      </c>
      <c r="M77">
        <v>83.907252982016601</v>
      </c>
      <c r="O77">
        <v>58.297248770132803</v>
      </c>
      <c r="P77">
        <v>-6.5479489147224401E-2</v>
      </c>
      <c r="Q77">
        <v>0.81802414101083698</v>
      </c>
      <c r="R77">
        <v>0.26138992459034399</v>
      </c>
      <c r="S77" t="s">
        <v>1951</v>
      </c>
      <c r="T77" t="s">
        <v>3746</v>
      </c>
      <c r="U77" t="s">
        <v>3746</v>
      </c>
      <c r="V77" t="s">
        <v>3746</v>
      </c>
      <c r="W77" t="s">
        <v>3821</v>
      </c>
      <c r="X77">
        <v>1</v>
      </c>
      <c r="Y77" t="s">
        <v>5678</v>
      </c>
      <c r="Z77" t="s">
        <v>7465</v>
      </c>
      <c r="AA77">
        <v>0.92937921223146147</v>
      </c>
      <c r="AB77" t="str">
        <f>HYPERLINK("Melting_Curves/meltCurve_B4DNW5_SFTPA1.pdf", "Melting_Curves/meltCurve_B4DNW5_SFTPA1.pdf")</f>
        <v>Melting_Curves/meltCurve_B4DNW5_SFTPA1.pdf</v>
      </c>
    </row>
    <row r="78" spans="1:28" x14ac:dyDescent="0.25">
      <c r="A78" t="s">
        <v>82</v>
      </c>
      <c r="B78">
        <v>1</v>
      </c>
      <c r="C78">
        <v>1.1071211199026201</v>
      </c>
      <c r="D78">
        <v>1.22200243457091</v>
      </c>
      <c r="E78">
        <v>1.7797220531547999</v>
      </c>
      <c r="F78">
        <v>0.94897545141002204</v>
      </c>
      <c r="G78">
        <v>0.50685230269831605</v>
      </c>
      <c r="H78">
        <v>0.66382633394197599</v>
      </c>
      <c r="I78">
        <v>0.66595658348549402</v>
      </c>
      <c r="J78">
        <v>1.12837289511057</v>
      </c>
      <c r="K78">
        <v>1.00182592818016</v>
      </c>
      <c r="L78">
        <v>13309.0974181277</v>
      </c>
      <c r="M78">
        <v>250</v>
      </c>
      <c r="O78">
        <v>53.232982910015501</v>
      </c>
      <c r="P78">
        <v>-0.24260474957574801</v>
      </c>
      <c r="Q78">
        <v>0.793366808485093</v>
      </c>
      <c r="R78">
        <v>0.18695000575543899</v>
      </c>
      <c r="S78" t="s">
        <v>1952</v>
      </c>
      <c r="T78" t="s">
        <v>3746</v>
      </c>
      <c r="U78" t="s">
        <v>3746</v>
      </c>
      <c r="V78" t="s">
        <v>3746</v>
      </c>
      <c r="W78" t="s">
        <v>3822</v>
      </c>
      <c r="X78">
        <v>2</v>
      </c>
      <c r="Y78" t="s">
        <v>5679</v>
      </c>
      <c r="Z78" t="s">
        <v>7466</v>
      </c>
      <c r="AA78">
        <v>0.88455536209703967</v>
      </c>
      <c r="AB78" t="str">
        <f>HYPERLINK("Melting_Curves/meltCurve_B4DP17_CNBP.pdf", "Melting_Curves/meltCurve_B4DP17_CNBP.pdf")</f>
        <v>Melting_Curves/meltCurve_B4DP17_CNBP.pdf</v>
      </c>
    </row>
    <row r="79" spans="1:28" x14ac:dyDescent="0.25">
      <c r="A79" t="s">
        <v>83</v>
      </c>
      <c r="B79">
        <v>1</v>
      </c>
      <c r="C79">
        <v>1.07947692933126</v>
      </c>
      <c r="D79">
        <v>1.6268717392777301</v>
      </c>
      <c r="E79">
        <v>2.31025137204418</v>
      </c>
      <c r="F79">
        <v>1.71143031370689</v>
      </c>
      <c r="G79">
        <v>2.5883867470695798</v>
      </c>
      <c r="H79">
        <v>1.16932041466224</v>
      </c>
      <c r="I79">
        <v>2.1328003252252898</v>
      </c>
      <c r="J79">
        <v>1.73846466562775</v>
      </c>
      <c r="K79">
        <v>1.60695169049394</v>
      </c>
      <c r="L79">
        <v>10796.472675175701</v>
      </c>
      <c r="M79">
        <v>250</v>
      </c>
      <c r="O79">
        <v>43.183127135628297</v>
      </c>
      <c r="P79">
        <v>0.72366227604118005</v>
      </c>
      <c r="Q79">
        <v>1.5</v>
      </c>
      <c r="R79">
        <v>1.6313458078890401E-2</v>
      </c>
      <c r="S79" t="s">
        <v>1953</v>
      </c>
      <c r="T79" t="s">
        <v>3746</v>
      </c>
      <c r="U79" t="s">
        <v>3746</v>
      </c>
      <c r="V79" t="s">
        <v>3746</v>
      </c>
      <c r="W79" t="s">
        <v>3823</v>
      </c>
      <c r="X79">
        <v>6</v>
      </c>
      <c r="Y79" t="s">
        <v>5680</v>
      </c>
      <c r="Z79" t="s">
        <v>7467</v>
      </c>
      <c r="AA79">
        <v>1.4468639263664049</v>
      </c>
      <c r="AB79" t="str">
        <f>HYPERLINK("Melting_Curves/meltCurve_B4DPG6_GGT6.pdf", "Melting_Curves/meltCurve_B4DPG6_GGT6.pdf")</f>
        <v>Melting_Curves/meltCurve_B4DPG6_GGT6.pdf</v>
      </c>
    </row>
    <row r="80" spans="1:28" x14ac:dyDescent="0.25">
      <c r="A80" t="s">
        <v>84</v>
      </c>
      <c r="B80">
        <v>1</v>
      </c>
      <c r="C80">
        <v>1.1262458471760799</v>
      </c>
      <c r="D80">
        <v>1.4045162740738899</v>
      </c>
      <c r="E80">
        <v>1.8556191142307601</v>
      </c>
      <c r="F80">
        <v>1.2617840281767501</v>
      </c>
      <c r="G80">
        <v>1.43007019209152</v>
      </c>
      <c r="H80">
        <v>1.0748882172207901</v>
      </c>
      <c r="I80">
        <v>1.3000024979392</v>
      </c>
      <c r="J80">
        <v>1.36547348437539</v>
      </c>
      <c r="K80">
        <v>1.31301676117203</v>
      </c>
      <c r="L80">
        <v>10754.2118488624</v>
      </c>
      <c r="M80">
        <v>250</v>
      </c>
      <c r="O80">
        <v>43.014095191486902</v>
      </c>
      <c r="P80">
        <v>0.54585498156082901</v>
      </c>
      <c r="Q80">
        <v>1.37567132461874</v>
      </c>
      <c r="R80">
        <v>0.32108266850371903</v>
      </c>
      <c r="S80" t="s">
        <v>1954</v>
      </c>
      <c r="T80" t="s">
        <v>3746</v>
      </c>
      <c r="U80" t="s">
        <v>3746</v>
      </c>
      <c r="V80" t="s">
        <v>3746</v>
      </c>
      <c r="W80" t="s">
        <v>3824</v>
      </c>
      <c r="X80">
        <v>1</v>
      </c>
      <c r="Y80" t="s">
        <v>5681</v>
      </c>
      <c r="Z80" t="s">
        <v>7468</v>
      </c>
      <c r="AA80">
        <v>1.337864861806848</v>
      </c>
      <c r="AB80" t="str">
        <f>HYPERLINK("Melting_Curves/meltCurve_B4DQ68_CPPED1.pdf", "Melting_Curves/meltCurve_B4DQ68_CPPED1.pdf")</f>
        <v>Melting_Curves/meltCurve_B4DQ68_CPPED1.pdf</v>
      </c>
    </row>
    <row r="81" spans="1:28" x14ac:dyDescent="0.25">
      <c r="A81" t="s">
        <v>85</v>
      </c>
      <c r="B81">
        <v>1</v>
      </c>
      <c r="C81">
        <v>1.0215245609153301</v>
      </c>
      <c r="D81">
        <v>1.7920219992470501</v>
      </c>
      <c r="E81">
        <v>2.30550144861113</v>
      </c>
      <c r="F81">
        <v>1.5103366997855701</v>
      </c>
      <c r="G81">
        <v>2.2369174864550798</v>
      </c>
      <c r="H81">
        <v>1.31150868348256</v>
      </c>
      <c r="I81">
        <v>2.3696659191724101</v>
      </c>
      <c r="J81">
        <v>2.14590869657735</v>
      </c>
      <c r="K81">
        <v>2.0737236671959098</v>
      </c>
      <c r="L81">
        <v>10858.038536194499</v>
      </c>
      <c r="M81">
        <v>250</v>
      </c>
      <c r="O81">
        <v>43.429374604649901</v>
      </c>
      <c r="P81">
        <v>0.71955905878285198</v>
      </c>
      <c r="Q81">
        <v>1.5</v>
      </c>
      <c r="R81">
        <v>-0.113397715703215</v>
      </c>
      <c r="S81" t="s">
        <v>1955</v>
      </c>
      <c r="T81" t="s">
        <v>3746</v>
      </c>
      <c r="U81" t="s">
        <v>3746</v>
      </c>
      <c r="V81" t="s">
        <v>3746</v>
      </c>
      <c r="W81" t="s">
        <v>3825</v>
      </c>
      <c r="X81">
        <v>2</v>
      </c>
      <c r="Y81" t="s">
        <v>5682</v>
      </c>
      <c r="Z81" t="s">
        <v>7469</v>
      </c>
      <c r="AA81">
        <v>1.4427593195419171</v>
      </c>
      <c r="AB81" t="str">
        <f>HYPERLINK("Melting_Curves/meltCurve_B4DQI4_ABHD14B.pdf", "Melting_Curves/meltCurve_B4DQI4_ABHD14B.pdf")</f>
        <v>Melting_Curves/meltCurve_B4DQI4_ABHD14B.pdf</v>
      </c>
    </row>
    <row r="82" spans="1:28" x14ac:dyDescent="0.25">
      <c r="A82" t="s">
        <v>86</v>
      </c>
      <c r="B82">
        <v>1</v>
      </c>
      <c r="C82">
        <v>0.95718182896453596</v>
      </c>
      <c r="D82">
        <v>1.45819001304709</v>
      </c>
      <c r="E82">
        <v>2.1328035424821099</v>
      </c>
      <c r="F82">
        <v>1.86118688965326</v>
      </c>
      <c r="G82">
        <v>2.4960265686158198</v>
      </c>
      <c r="H82">
        <v>1.88269481674772</v>
      </c>
      <c r="I82">
        <v>2.99047167200411</v>
      </c>
      <c r="J82">
        <v>3.19712964061203</v>
      </c>
      <c r="K82">
        <v>2.8919068516981001</v>
      </c>
      <c r="L82">
        <v>11389.8692904657</v>
      </c>
      <c r="M82">
        <v>250</v>
      </c>
      <c r="O82">
        <v>45.5565618474715</v>
      </c>
      <c r="P82">
        <v>0.68596046101006403</v>
      </c>
      <c r="Q82">
        <v>1.5</v>
      </c>
      <c r="R82">
        <v>-0.49866468423412602</v>
      </c>
      <c r="S82" t="s">
        <v>1956</v>
      </c>
      <c r="T82" t="s">
        <v>3746</v>
      </c>
      <c r="U82" t="s">
        <v>3746</v>
      </c>
      <c r="V82" t="s">
        <v>3746</v>
      </c>
      <c r="W82" t="s">
        <v>3826</v>
      </c>
      <c r="X82">
        <v>13</v>
      </c>
      <c r="Y82" t="s">
        <v>5683</v>
      </c>
      <c r="Z82" t="s">
        <v>7470</v>
      </c>
      <c r="AA82">
        <v>1.407302069215608</v>
      </c>
      <c r="AB82" t="str">
        <f>HYPERLINK("Melting_Curves/meltCurve_B4DQJ8_PGD.pdf", "Melting_Curves/meltCurve_B4DQJ8_PGD.pdf")</f>
        <v>Melting_Curves/meltCurve_B4DQJ8_PGD.pdf</v>
      </c>
    </row>
    <row r="83" spans="1:28" x14ac:dyDescent="0.25">
      <c r="A83" t="s">
        <v>87</v>
      </c>
      <c r="B83">
        <v>1</v>
      </c>
      <c r="C83">
        <v>0.975860381666939</v>
      </c>
      <c r="D83">
        <v>1.88658728864242</v>
      </c>
      <c r="E83">
        <v>2.0506714510955302</v>
      </c>
      <c r="F83">
        <v>1.3057141303756901</v>
      </c>
      <c r="G83">
        <v>1.6810743217528401</v>
      </c>
      <c r="H83">
        <v>1.2434078181917001</v>
      </c>
      <c r="I83">
        <v>1.67324525634752</v>
      </c>
      <c r="J83">
        <v>1.5566791714239101</v>
      </c>
      <c r="K83">
        <v>1.6837927472408001</v>
      </c>
      <c r="L83">
        <v>11039.2107095272</v>
      </c>
      <c r="M83">
        <v>250</v>
      </c>
      <c r="O83">
        <v>44.154016677312903</v>
      </c>
      <c r="P83">
        <v>0.70774987405394796</v>
      </c>
      <c r="Q83">
        <v>1.5</v>
      </c>
      <c r="R83">
        <v>0.44370684740767002</v>
      </c>
      <c r="S83" t="s">
        <v>1957</v>
      </c>
      <c r="T83" t="s">
        <v>3746</v>
      </c>
      <c r="U83" t="s">
        <v>3746</v>
      </c>
      <c r="V83" t="s">
        <v>3746</v>
      </c>
      <c r="W83" t="s">
        <v>3827</v>
      </c>
      <c r="X83">
        <v>1</v>
      </c>
      <c r="Y83" t="s">
        <v>5684</v>
      </c>
      <c r="Z83" t="s">
        <v>7471</v>
      </c>
      <c r="AA83">
        <v>1.430680538745527</v>
      </c>
      <c r="AB83" t="str">
        <f>HYPERLINK("Melting_Curves/meltCurve_B4DQR1_CARKD.pdf", "Melting_Curves/meltCurve_B4DQR1_CARKD.pdf")</f>
        <v>Melting_Curves/meltCurve_B4DQR1_CARKD.pdf</v>
      </c>
    </row>
    <row r="84" spans="1:28" x14ac:dyDescent="0.25">
      <c r="A84" t="s">
        <v>88</v>
      </c>
      <c r="B84">
        <v>1</v>
      </c>
      <c r="C84">
        <v>1.1049732095690901</v>
      </c>
      <c r="D84">
        <v>4.8679344955097701</v>
      </c>
      <c r="E84">
        <v>4.6982114557391901</v>
      </c>
      <c r="F84">
        <v>3.23764244207984</v>
      </c>
      <c r="G84">
        <v>3.4751339521545499</v>
      </c>
      <c r="H84">
        <v>2.1342540185646399</v>
      </c>
      <c r="I84">
        <v>3.0941061051996099</v>
      </c>
      <c r="J84">
        <v>3.3235982190023399</v>
      </c>
      <c r="K84">
        <v>3.0614293260886001</v>
      </c>
      <c r="L84">
        <v>10781.8515317489</v>
      </c>
      <c r="M84">
        <v>250</v>
      </c>
      <c r="O84">
        <v>43.124646253993603</v>
      </c>
      <c r="P84">
        <v>0.72464362603468702</v>
      </c>
      <c r="Q84">
        <v>1.5</v>
      </c>
      <c r="R84">
        <v>-1.46134749425828</v>
      </c>
      <c r="S84" t="s">
        <v>1958</v>
      </c>
      <c r="T84" t="s">
        <v>3746</v>
      </c>
      <c r="U84" t="s">
        <v>3746</v>
      </c>
      <c r="V84" t="s">
        <v>3746</v>
      </c>
      <c r="W84" t="s">
        <v>3828</v>
      </c>
      <c r="X84">
        <v>2</v>
      </c>
      <c r="Y84" t="s">
        <v>5685</v>
      </c>
      <c r="Z84" t="s">
        <v>7472</v>
      </c>
      <c r="AA84">
        <v>1.4478387205788359</v>
      </c>
      <c r="AB84" t="str">
        <f>HYPERLINK("Melting_Curves/meltCurve_B4DR52_HIST2H2BF.pdf", "Melting_Curves/meltCurve_B4DR52_HIST2H2BF.pdf")</f>
        <v>Melting_Curves/meltCurve_B4DR52_HIST2H2BF.pdf</v>
      </c>
    </row>
    <row r="85" spans="1:28" x14ac:dyDescent="0.25">
      <c r="A85" t="s">
        <v>89</v>
      </c>
      <c r="B85">
        <v>1</v>
      </c>
      <c r="C85">
        <v>0.999611951882033</v>
      </c>
      <c r="D85">
        <v>2.0456344586728799</v>
      </c>
      <c r="E85">
        <v>3.6730306558013202</v>
      </c>
      <c r="F85">
        <v>2.5484672099340302</v>
      </c>
      <c r="G85">
        <v>2.9736903376018602</v>
      </c>
      <c r="H85">
        <v>1.98866899495537</v>
      </c>
      <c r="I85">
        <v>2.7521924718665098</v>
      </c>
      <c r="J85">
        <v>3.0050446255335701</v>
      </c>
      <c r="K85">
        <v>2.72929763290648</v>
      </c>
      <c r="L85">
        <v>10974.448109757201</v>
      </c>
      <c r="M85">
        <v>250</v>
      </c>
      <c r="O85">
        <v>43.894966703395298</v>
      </c>
      <c r="P85">
        <v>0.71192645805811205</v>
      </c>
      <c r="Q85">
        <v>1.5</v>
      </c>
      <c r="R85">
        <v>-1.04688075021937</v>
      </c>
      <c r="S85" t="s">
        <v>1959</v>
      </c>
      <c r="T85" t="s">
        <v>3746</v>
      </c>
      <c r="U85" t="s">
        <v>3746</v>
      </c>
      <c r="V85" t="s">
        <v>3746</v>
      </c>
      <c r="W85" t="s">
        <v>3829</v>
      </c>
      <c r="X85">
        <v>7</v>
      </c>
      <c r="Y85" t="s">
        <v>5686</v>
      </c>
      <c r="Z85" t="s">
        <v>7473</v>
      </c>
      <c r="AA85">
        <v>1.434998272711516</v>
      </c>
      <c r="AB85" t="str">
        <f>HYPERLINK("Melting_Curves/meltCurve_B4DR94_YKT6.pdf", "Melting_Curves/meltCurve_B4DR94_YKT6.pdf")</f>
        <v>Melting_Curves/meltCurve_B4DR94_YKT6.pdf</v>
      </c>
    </row>
    <row r="86" spans="1:28" x14ac:dyDescent="0.25">
      <c r="A86" t="s">
        <v>90</v>
      </c>
      <c r="B86">
        <v>1</v>
      </c>
      <c r="C86">
        <v>0.84066043365824505</v>
      </c>
      <c r="D86">
        <v>1.29460911080167</v>
      </c>
      <c r="E86">
        <v>1.56977322458723</v>
      </c>
      <c r="F86">
        <v>0.85886214442013098</v>
      </c>
      <c r="G86">
        <v>0.93624428088323097</v>
      </c>
      <c r="H86">
        <v>0.63939725482395104</v>
      </c>
      <c r="I86">
        <v>0.79475830515217805</v>
      </c>
      <c r="J86">
        <v>0.92967972946091104</v>
      </c>
      <c r="K86">
        <v>0.85373980505271496</v>
      </c>
      <c r="L86">
        <v>14291.4166173006</v>
      </c>
      <c r="M86">
        <v>250</v>
      </c>
      <c r="O86">
        <v>57.162019662551899</v>
      </c>
      <c r="P86">
        <v>-0.21387262415925201</v>
      </c>
      <c r="Q86">
        <v>0.80439378081597801</v>
      </c>
      <c r="R86">
        <v>0.228981196175888</v>
      </c>
      <c r="S86" t="s">
        <v>1960</v>
      </c>
      <c r="T86" t="s">
        <v>3746</v>
      </c>
      <c r="U86" t="s">
        <v>3746</v>
      </c>
      <c r="V86" t="s">
        <v>3746</v>
      </c>
      <c r="W86" t="s">
        <v>3830</v>
      </c>
      <c r="X86">
        <v>1</v>
      </c>
      <c r="Y86" t="s">
        <v>5687</v>
      </c>
      <c r="Z86" t="s">
        <v>7474</v>
      </c>
      <c r="AA86">
        <v>0.91633710890870113</v>
      </c>
      <c r="AB86" t="str">
        <f>HYPERLINK("Melting_Curves/meltCurve_B4DRN8_ZDHHC20.pdf", "Melting_Curves/meltCurve_B4DRN8_ZDHHC20.pdf")</f>
        <v>Melting_Curves/meltCurve_B4DRN8_ZDHHC20.pdf</v>
      </c>
    </row>
    <row r="87" spans="1:28" x14ac:dyDescent="0.25">
      <c r="A87" t="s">
        <v>91</v>
      </c>
      <c r="B87">
        <v>1</v>
      </c>
      <c r="C87">
        <v>0.88972448449142305</v>
      </c>
      <c r="D87">
        <v>1.2614798128573901</v>
      </c>
      <c r="E87">
        <v>1.51146537284122</v>
      </c>
      <c r="F87">
        <v>0.98044244209553499</v>
      </c>
      <c r="G87">
        <v>1.12314445792179</v>
      </c>
      <c r="H87">
        <v>0.66782186796049203</v>
      </c>
      <c r="I87">
        <v>1.0330849650551599</v>
      </c>
      <c r="J87">
        <v>0.97860567203835302</v>
      </c>
      <c r="K87">
        <v>0.99768959741234897</v>
      </c>
      <c r="L87">
        <v>11088.1932992613</v>
      </c>
      <c r="M87">
        <v>250</v>
      </c>
      <c r="O87">
        <v>44.349953268602398</v>
      </c>
      <c r="P87">
        <v>9.7523103475870399E-2</v>
      </c>
      <c r="Q87">
        <v>1.0692022927718099</v>
      </c>
      <c r="R87">
        <v>4.1464843671875799E-2</v>
      </c>
      <c r="S87" t="s">
        <v>1961</v>
      </c>
      <c r="T87" t="s">
        <v>3746</v>
      </c>
      <c r="U87" t="s">
        <v>3746</v>
      </c>
      <c r="V87" t="s">
        <v>3746</v>
      </c>
      <c r="W87" t="s">
        <v>3831</v>
      </c>
      <c r="X87">
        <v>2</v>
      </c>
      <c r="Y87" t="s">
        <v>5688</v>
      </c>
      <c r="Z87" t="s">
        <v>7475</v>
      </c>
      <c r="AA87">
        <v>1.0591561766691771</v>
      </c>
      <c r="AB87" t="str">
        <f>HYPERLINK("Melting_Curves/meltCurve_B4DSV9_ABI3BP.pdf", "Melting_Curves/meltCurve_B4DSV9_ABI3BP.pdf")</f>
        <v>Melting_Curves/meltCurve_B4DSV9_ABI3BP.pdf</v>
      </c>
    </row>
    <row r="88" spans="1:28" x14ac:dyDescent="0.25">
      <c r="A88" t="s">
        <v>92</v>
      </c>
      <c r="B88">
        <v>1</v>
      </c>
      <c r="C88">
        <v>0.85581383228227403</v>
      </c>
      <c r="D88">
        <v>1.2493615468807</v>
      </c>
      <c r="E88">
        <v>1.1871319122322399</v>
      </c>
      <c r="F88">
        <v>0.83613905248345199</v>
      </c>
      <c r="G88">
        <v>0.87582738312399</v>
      </c>
      <c r="H88">
        <v>0.59920779694584902</v>
      </c>
      <c r="I88">
        <v>0.92098816907281</v>
      </c>
      <c r="J88">
        <v>0.74894459790483103</v>
      </c>
      <c r="K88">
        <v>0.73291812164486403</v>
      </c>
      <c r="L88">
        <v>13197.2474303053</v>
      </c>
      <c r="M88">
        <v>250</v>
      </c>
      <c r="O88">
        <v>52.785617318152703</v>
      </c>
      <c r="P88">
        <v>-0.26572449994685199</v>
      </c>
      <c r="Q88">
        <v>0.77557711637487003</v>
      </c>
      <c r="R88">
        <v>0.49603288136145701</v>
      </c>
      <c r="S88" t="s">
        <v>1962</v>
      </c>
      <c r="T88" t="s">
        <v>3746</v>
      </c>
      <c r="U88" t="s">
        <v>3746</v>
      </c>
      <c r="V88" t="s">
        <v>3746</v>
      </c>
      <c r="W88" t="s">
        <v>3832</v>
      </c>
      <c r="X88">
        <v>2</v>
      </c>
      <c r="Y88" t="s">
        <v>5689</v>
      </c>
      <c r="Z88" t="s">
        <v>7476</v>
      </c>
      <c r="AA88">
        <v>0.87126930617233145</v>
      </c>
      <c r="AB88" t="str">
        <f>HYPERLINK("Melting_Curves/meltCurve_B4DT77_ANXA7.pdf", "Melting_Curves/meltCurve_B4DT77_ANXA7.pdf")</f>
        <v>Melting_Curves/meltCurve_B4DT77_ANXA7.pdf</v>
      </c>
    </row>
    <row r="89" spans="1:28" x14ac:dyDescent="0.25">
      <c r="A89" t="s">
        <v>93</v>
      </c>
      <c r="B89">
        <v>1</v>
      </c>
      <c r="C89">
        <v>1.11442045172499</v>
      </c>
      <c r="D89">
        <v>1.50111690245719</v>
      </c>
      <c r="E89">
        <v>1.91430876147928</v>
      </c>
      <c r="F89">
        <v>1.44415487714073</v>
      </c>
      <c r="G89">
        <v>1.7838173243981099</v>
      </c>
      <c r="H89">
        <v>0.98709357160585798</v>
      </c>
      <c r="I89">
        <v>1.5873665922064999</v>
      </c>
      <c r="J89">
        <v>1.5076321667907699</v>
      </c>
      <c r="K89">
        <v>1.3803052866716301</v>
      </c>
      <c r="L89">
        <v>10777.117823319</v>
      </c>
      <c r="M89">
        <v>250</v>
      </c>
      <c r="O89">
        <v>43.105712651583502</v>
      </c>
      <c r="P89">
        <v>0.724961916295355</v>
      </c>
      <c r="Q89">
        <v>1.5</v>
      </c>
      <c r="R89">
        <v>0.38468960372231797</v>
      </c>
      <c r="S89" t="s">
        <v>1963</v>
      </c>
      <c r="T89" t="s">
        <v>3746</v>
      </c>
      <c r="U89" t="s">
        <v>3746</v>
      </c>
      <c r="V89" t="s">
        <v>3746</v>
      </c>
      <c r="W89" t="s">
        <v>3833</v>
      </c>
      <c r="X89">
        <v>7</v>
      </c>
      <c r="Y89" t="s">
        <v>5690</v>
      </c>
      <c r="Z89" t="s">
        <v>7477</v>
      </c>
      <c r="AA89">
        <v>1.448154317754994</v>
      </c>
      <c r="AB89" t="str">
        <f>HYPERLINK("Melting_Curves/meltCurve_B4DUC8_MTAP.pdf", "Melting_Curves/meltCurve_B4DUC8_MTAP.pdf")</f>
        <v>Melting_Curves/meltCurve_B4DUC8_MTAP.pdf</v>
      </c>
    </row>
    <row r="90" spans="1:28" x14ac:dyDescent="0.25">
      <c r="A90" t="s">
        <v>94</v>
      </c>
      <c r="B90">
        <v>1</v>
      </c>
      <c r="C90">
        <v>1.10422422836542</v>
      </c>
      <c r="D90">
        <v>2.1242298429396702</v>
      </c>
      <c r="E90">
        <v>2.9398206291278202</v>
      </c>
      <c r="F90">
        <v>2.05168363351605</v>
      </c>
      <c r="G90">
        <v>2.40835685051935</v>
      </c>
      <c r="H90">
        <v>1.7669656181203</v>
      </c>
      <c r="I90">
        <v>2.3681683190260201</v>
      </c>
      <c r="J90">
        <v>2.2174613259260401</v>
      </c>
      <c r="K90">
        <v>2.1512684505252602</v>
      </c>
      <c r="L90">
        <v>10782.2413001685</v>
      </c>
      <c r="M90">
        <v>250</v>
      </c>
      <c r="O90">
        <v>43.126205226004302</v>
      </c>
      <c r="P90">
        <v>0.72461743081302299</v>
      </c>
      <c r="Q90">
        <v>1.5</v>
      </c>
      <c r="R90">
        <v>-0.71186323916810201</v>
      </c>
      <c r="S90" t="s">
        <v>1964</v>
      </c>
      <c r="T90" t="s">
        <v>3746</v>
      </c>
      <c r="U90" t="s">
        <v>3746</v>
      </c>
      <c r="V90" t="s">
        <v>3746</v>
      </c>
      <c r="W90" t="s">
        <v>3834</v>
      </c>
      <c r="X90">
        <v>2</v>
      </c>
      <c r="Y90" t="s">
        <v>5691</v>
      </c>
      <c r="Z90" t="s">
        <v>7478</v>
      </c>
      <c r="AA90">
        <v>1.447812734649532</v>
      </c>
      <c r="AB90" t="str">
        <f>HYPERLINK("Melting_Curves/meltCurve_B4DUI3_EIF3J.pdf", "Melting_Curves/meltCurve_B4DUI3_EIF3J.pdf")</f>
        <v>Melting_Curves/meltCurve_B4DUI3_EIF3J.pdf</v>
      </c>
    </row>
    <row r="91" spans="1:28" x14ac:dyDescent="0.25">
      <c r="A91" t="s">
        <v>95</v>
      </c>
      <c r="B91">
        <v>1</v>
      </c>
      <c r="C91">
        <v>1.1331996260216499</v>
      </c>
      <c r="D91">
        <v>1.93307597189131</v>
      </c>
      <c r="E91">
        <v>2.39165183822421</v>
      </c>
      <c r="F91">
        <v>1.8649154024791099</v>
      </c>
      <c r="G91">
        <v>2.0888500165877502</v>
      </c>
      <c r="H91">
        <v>1.62786138673583</v>
      </c>
      <c r="I91">
        <v>2.5985463099797901</v>
      </c>
      <c r="J91">
        <v>2.67711192206774</v>
      </c>
      <c r="K91">
        <v>2.649515939319</v>
      </c>
      <c r="S91" t="s">
        <v>1965</v>
      </c>
      <c r="T91" t="s">
        <v>3746</v>
      </c>
      <c r="U91" t="s">
        <v>3747</v>
      </c>
      <c r="V91" t="s">
        <v>3746</v>
      </c>
      <c r="W91" t="s">
        <v>3835</v>
      </c>
      <c r="X91">
        <v>6</v>
      </c>
      <c r="Y91" t="s">
        <v>5692</v>
      </c>
      <c r="Z91" t="s">
        <v>7479</v>
      </c>
      <c r="AB91" t="str">
        <f>HYPERLINK("Melting_Curves/meltCurve_B4DUR8_CCT3.pdf", "Melting_Curves/meltCurve_B4DUR8_CCT3.pdf")</f>
        <v>Melting_Curves/meltCurve_B4DUR8_CCT3.pdf</v>
      </c>
    </row>
    <row r="92" spans="1:28" x14ac:dyDescent="0.25">
      <c r="A92" t="s">
        <v>96</v>
      </c>
      <c r="B92">
        <v>1</v>
      </c>
      <c r="C92">
        <v>0.99837144450641402</v>
      </c>
      <c r="D92">
        <v>1.6196319018404901</v>
      </c>
      <c r="E92">
        <v>1.77396542108199</v>
      </c>
      <c r="F92">
        <v>1.52622420524261</v>
      </c>
      <c r="G92">
        <v>1.63660903513664</v>
      </c>
      <c r="H92">
        <v>1.24252091466815</v>
      </c>
      <c r="I92">
        <v>1.81757947573898</v>
      </c>
      <c r="J92">
        <v>1.8649414389291701</v>
      </c>
      <c r="K92">
        <v>1.82003346346905</v>
      </c>
      <c r="L92">
        <v>11012.233939431901</v>
      </c>
      <c r="M92">
        <v>250</v>
      </c>
      <c r="O92">
        <v>44.046117765598098</v>
      </c>
      <c r="P92">
        <v>0.70948365538381197</v>
      </c>
      <c r="Q92">
        <v>1.5</v>
      </c>
      <c r="R92">
        <v>0.49061265170845902</v>
      </c>
      <c r="S92" t="s">
        <v>1966</v>
      </c>
      <c r="T92" t="s">
        <v>3746</v>
      </c>
      <c r="U92" t="s">
        <v>3746</v>
      </c>
      <c r="V92" t="s">
        <v>3746</v>
      </c>
      <c r="W92" t="s">
        <v>3836</v>
      </c>
      <c r="X92">
        <v>4</v>
      </c>
      <c r="Y92" t="s">
        <v>5693</v>
      </c>
      <c r="Z92" t="s">
        <v>7480</v>
      </c>
      <c r="AA92">
        <v>1.432479084772823</v>
      </c>
      <c r="AB92" t="str">
        <f>HYPERLINK("Melting_Curves/meltCurve_B4DWJ2_QARS.pdf", "Melting_Curves/meltCurve_B4DWJ2_QARS.pdf")</f>
        <v>Melting_Curves/meltCurve_B4DWJ2_QARS.pdf</v>
      </c>
    </row>
    <row r="93" spans="1:28" x14ac:dyDescent="0.25">
      <c r="A93" t="s">
        <v>97</v>
      </c>
      <c r="B93">
        <v>1</v>
      </c>
      <c r="C93">
        <v>0.95531974892163696</v>
      </c>
      <c r="D93">
        <v>1.44829603016282</v>
      </c>
      <c r="E93">
        <v>1.4662600394790399</v>
      </c>
      <c r="F93">
        <v>1.1707938629931001</v>
      </c>
      <c r="G93">
        <v>1.88601209437371</v>
      </c>
      <c r="H93">
        <v>1.08170490981441</v>
      </c>
      <c r="I93">
        <v>1.5548267830845901</v>
      </c>
      <c r="J93">
        <v>1.45508475461372</v>
      </c>
      <c r="K93">
        <v>1.0782583266316399</v>
      </c>
      <c r="L93">
        <v>11095.647679092501</v>
      </c>
      <c r="M93">
        <v>250</v>
      </c>
      <c r="O93">
        <v>44.379750619575297</v>
      </c>
      <c r="P93">
        <v>0.55300035541009995</v>
      </c>
      <c r="Q93">
        <v>1.39267228455268</v>
      </c>
      <c r="R93">
        <v>0.34171629789908697</v>
      </c>
      <c r="S93" t="s">
        <v>1967</v>
      </c>
      <c r="T93" t="s">
        <v>3746</v>
      </c>
      <c r="U93" t="s">
        <v>3746</v>
      </c>
      <c r="V93" t="s">
        <v>3746</v>
      </c>
      <c r="W93" t="s">
        <v>3837</v>
      </c>
      <c r="X93">
        <v>1</v>
      </c>
      <c r="Y93" t="s">
        <v>5694</v>
      </c>
      <c r="Z93" t="s">
        <v>7481</v>
      </c>
      <c r="AA93">
        <v>1.3352776353830429</v>
      </c>
      <c r="AB93" t="str">
        <f>HYPERLINK("Melting_Curves/meltCurve_B4E0V0_PNPO.pdf", "Melting_Curves/meltCurve_B4E0V0_PNPO.pdf")</f>
        <v>Melting_Curves/meltCurve_B4E0V0_PNPO.pdf</v>
      </c>
    </row>
    <row r="94" spans="1:28" x14ac:dyDescent="0.25">
      <c r="A94" t="s">
        <v>98</v>
      </c>
      <c r="B94">
        <v>1</v>
      </c>
      <c r="C94">
        <v>0.90970919324577904</v>
      </c>
      <c r="D94">
        <v>1.2393683552220101</v>
      </c>
      <c r="E94">
        <v>1.4081457160725499</v>
      </c>
      <c r="F94">
        <v>1.3071450906816799</v>
      </c>
      <c r="G94">
        <v>1.35799718574109</v>
      </c>
      <c r="H94">
        <v>0.83466228893058203</v>
      </c>
      <c r="I94">
        <v>1.22803314571607</v>
      </c>
      <c r="J94">
        <v>1.05671513445904</v>
      </c>
      <c r="K94">
        <v>0.92921357098186397</v>
      </c>
      <c r="L94">
        <v>1.0000000000000001E-5</v>
      </c>
      <c r="M94">
        <v>1.0000000000000001E-5</v>
      </c>
      <c r="Q94">
        <v>1.2541966858692799</v>
      </c>
      <c r="R94">
        <v>-5.6875459897298697E-10</v>
      </c>
      <c r="S94" t="s">
        <v>1968</v>
      </c>
      <c r="T94" t="s">
        <v>3746</v>
      </c>
      <c r="U94" t="s">
        <v>3746</v>
      </c>
      <c r="V94" t="s">
        <v>3746</v>
      </c>
      <c r="W94" t="s">
        <v>3838</v>
      </c>
      <c r="X94">
        <v>2</v>
      </c>
      <c r="Y94" t="s">
        <v>5695</v>
      </c>
      <c r="Z94" t="s">
        <v>7482</v>
      </c>
      <c r="AA94">
        <v>1.1270989665719811</v>
      </c>
      <c r="AB94" t="str">
        <f>HYPERLINK("Melting_Curves/meltCurve_B4E1J0_PBXIP1.pdf", "Melting_Curves/meltCurve_B4E1J0_PBXIP1.pdf")</f>
        <v>Melting_Curves/meltCurve_B4E1J0_PBXIP1.pdf</v>
      </c>
    </row>
    <row r="95" spans="1:28" x14ac:dyDescent="0.25">
      <c r="A95" t="s">
        <v>99</v>
      </c>
      <c r="B95">
        <v>1</v>
      </c>
      <c r="C95">
        <v>1.0574778262019799</v>
      </c>
      <c r="D95">
        <v>1.6942591793258099</v>
      </c>
      <c r="E95">
        <v>2.4675921413553499</v>
      </c>
      <c r="F95">
        <v>1.7818404600453901</v>
      </c>
      <c r="G95">
        <v>2.3156824795666902</v>
      </c>
      <c r="H95">
        <v>1.8144223673401201</v>
      </c>
      <c r="I95">
        <v>2.3866943287987898</v>
      </c>
      <c r="J95">
        <v>2.5571227669558199</v>
      </c>
      <c r="K95">
        <v>2.4379342513819502</v>
      </c>
      <c r="L95">
        <v>1.0000000000000001E-5</v>
      </c>
      <c r="M95">
        <v>26.621385891451201</v>
      </c>
      <c r="Q95">
        <v>1.5</v>
      </c>
      <c r="R95">
        <v>-0.67662498679999405</v>
      </c>
      <c r="S95" t="s">
        <v>1969</v>
      </c>
      <c r="T95" t="s">
        <v>3746</v>
      </c>
      <c r="U95" t="s">
        <v>3746</v>
      </c>
      <c r="V95" t="s">
        <v>3746</v>
      </c>
      <c r="W95" t="s">
        <v>3839</v>
      </c>
      <c r="X95">
        <v>40</v>
      </c>
      <c r="Y95" t="s">
        <v>5696</v>
      </c>
      <c r="Z95" t="s">
        <v>7483</v>
      </c>
      <c r="AA95">
        <v>1.499999999998628</v>
      </c>
      <c r="AB95" t="str">
        <f>HYPERLINK("Melting_Curves/meltCurve_B4E1Z4_CFB.pdf", "Melting_Curves/meltCurve_B4E1Z4_CFB.pdf")</f>
        <v>Melting_Curves/meltCurve_B4E1Z4_CFB.pdf</v>
      </c>
    </row>
    <row r="96" spans="1:28" x14ac:dyDescent="0.25">
      <c r="A96" t="s">
        <v>100</v>
      </c>
      <c r="B96">
        <v>1</v>
      </c>
      <c r="C96">
        <v>0.82172143974960898</v>
      </c>
      <c r="D96">
        <v>2.0425039123630699</v>
      </c>
      <c r="E96">
        <v>5.5828482003129896</v>
      </c>
      <c r="F96">
        <v>2.9399687010954598</v>
      </c>
      <c r="G96">
        <v>3.8020657276995302</v>
      </c>
      <c r="H96">
        <v>2.8915805946791902</v>
      </c>
      <c r="I96">
        <v>3.52381846635368</v>
      </c>
      <c r="J96">
        <v>3.8337402190923302</v>
      </c>
      <c r="K96">
        <v>3.3419718309859201</v>
      </c>
      <c r="L96">
        <v>11075.920148426099</v>
      </c>
      <c r="M96">
        <v>250</v>
      </c>
      <c r="O96">
        <v>44.300825548068502</v>
      </c>
      <c r="P96">
        <v>0.70540414339996405</v>
      </c>
      <c r="Q96">
        <v>1.5</v>
      </c>
      <c r="R96">
        <v>-1.1712059505388399</v>
      </c>
      <c r="S96" t="s">
        <v>1970</v>
      </c>
      <c r="T96" t="s">
        <v>3746</v>
      </c>
      <c r="U96" t="s">
        <v>3746</v>
      </c>
      <c r="V96" t="s">
        <v>3746</v>
      </c>
      <c r="W96" t="s">
        <v>3840</v>
      </c>
      <c r="X96">
        <v>2</v>
      </c>
      <c r="Y96" t="s">
        <v>5697</v>
      </c>
      <c r="Z96" t="s">
        <v>7484</v>
      </c>
      <c r="AA96">
        <v>1.4282331139699589</v>
      </c>
      <c r="AB96" t="str">
        <f>HYPERLINK("Melting_Curves/meltCurve_B4E2C0_GPC4.pdf", "Melting_Curves/meltCurve_B4E2C0_GPC4.pdf")</f>
        <v>Melting_Curves/meltCurve_B4E2C0_GPC4.pdf</v>
      </c>
    </row>
    <row r="97" spans="1:28" x14ac:dyDescent="0.25">
      <c r="A97" t="s">
        <v>101</v>
      </c>
      <c r="B97">
        <v>1</v>
      </c>
      <c r="C97">
        <v>0.83522329553408903</v>
      </c>
      <c r="D97">
        <v>0.81646367072658499</v>
      </c>
      <c r="E97">
        <v>0.72607214522376196</v>
      </c>
      <c r="F97">
        <v>0.74100517989640202</v>
      </c>
      <c r="G97">
        <v>0.63493396798730695</v>
      </c>
      <c r="H97">
        <v>0.26955527556115499</v>
      </c>
      <c r="I97">
        <v>0.60665453357599497</v>
      </c>
      <c r="J97">
        <v>0.48014373045872399</v>
      </c>
      <c r="K97">
        <v>0.361155443557795</v>
      </c>
      <c r="L97">
        <v>360.04484181507001</v>
      </c>
      <c r="M97">
        <v>6.5905072947008998</v>
      </c>
      <c r="N97">
        <v>61.543529132446302</v>
      </c>
      <c r="O97">
        <v>50.2570076974418</v>
      </c>
      <c r="P97">
        <v>-2.4266757018348101E-2</v>
      </c>
      <c r="Q97">
        <v>0.261505127713063</v>
      </c>
      <c r="R97">
        <v>0.787256610812479</v>
      </c>
      <c r="S97" t="s">
        <v>1971</v>
      </c>
      <c r="T97" t="s">
        <v>3746</v>
      </c>
      <c r="U97" t="s">
        <v>3746</v>
      </c>
      <c r="V97" t="s">
        <v>3746</v>
      </c>
      <c r="W97" t="s">
        <v>3841</v>
      </c>
      <c r="X97">
        <v>1</v>
      </c>
      <c r="Y97" t="s">
        <v>5698</v>
      </c>
      <c r="Z97" t="s">
        <v>7485</v>
      </c>
      <c r="AA97">
        <v>0.6440640630780663</v>
      </c>
      <c r="AB97" t="str">
        <f>HYPERLINK("Melting_Curves/meltCurve_B4E2S7_LAMP2.pdf", "Melting_Curves/meltCurve_B4E2S7_LAMP2.pdf")</f>
        <v>Melting_Curves/meltCurve_B4E2S7_LAMP2.pdf</v>
      </c>
    </row>
    <row r="98" spans="1:28" x14ac:dyDescent="0.25">
      <c r="A98" t="s">
        <v>102</v>
      </c>
      <c r="B98">
        <v>1</v>
      </c>
      <c r="C98">
        <v>0.67521709552203002</v>
      </c>
      <c r="D98">
        <v>0.76949857937492505</v>
      </c>
      <c r="E98">
        <v>0.93921325383168597</v>
      </c>
      <c r="F98">
        <v>0.53835687702589097</v>
      </c>
      <c r="G98">
        <v>0.49609828324462801</v>
      </c>
      <c r="H98">
        <v>0.41242146544479602</v>
      </c>
      <c r="I98">
        <v>0.53503541558285606</v>
      </c>
      <c r="J98">
        <v>0.60266517267597697</v>
      </c>
      <c r="K98">
        <v>0.55328344471567503</v>
      </c>
      <c r="L98">
        <v>409.91894970833999</v>
      </c>
      <c r="M98">
        <v>8.65097757886784</v>
      </c>
      <c r="O98">
        <v>45.056257166168898</v>
      </c>
      <c r="P98">
        <v>-2.5018660719339499E-2</v>
      </c>
      <c r="Q98">
        <v>0.47922747265323801</v>
      </c>
      <c r="R98">
        <v>0.56844334266949903</v>
      </c>
      <c r="S98" t="s">
        <v>1972</v>
      </c>
      <c r="T98" t="s">
        <v>3746</v>
      </c>
      <c r="U98" t="s">
        <v>3746</v>
      </c>
      <c r="V98" t="s">
        <v>3746</v>
      </c>
      <c r="W98" t="s">
        <v>3842</v>
      </c>
      <c r="X98">
        <v>3</v>
      </c>
      <c r="Y98" t="s">
        <v>5699</v>
      </c>
      <c r="Z98" t="s">
        <v>7486</v>
      </c>
      <c r="AA98">
        <v>0.64342045296091033</v>
      </c>
      <c r="AB98" t="str">
        <f>HYPERLINK("Melting_Curves/meltCurve_B4E2V5_STOM.pdf", "Melting_Curves/meltCurve_B4E2V5_STOM.pdf")</f>
        <v>Melting_Curves/meltCurve_B4E2V5_STOM.pdf</v>
      </c>
    </row>
    <row r="99" spans="1:28" x14ac:dyDescent="0.25">
      <c r="A99" t="s">
        <v>103</v>
      </c>
      <c r="B99">
        <v>1</v>
      </c>
      <c r="C99">
        <v>0.99926013613495102</v>
      </c>
      <c r="D99">
        <v>1.21174903817698</v>
      </c>
      <c r="E99">
        <v>1.59633027522936</v>
      </c>
      <c r="F99">
        <v>1.18851731281444</v>
      </c>
      <c r="G99">
        <v>1.17586564072211</v>
      </c>
      <c r="H99">
        <v>0.73350103580941095</v>
      </c>
      <c r="I99">
        <v>1.14508730393608</v>
      </c>
      <c r="J99">
        <v>1.2391240011837801</v>
      </c>
      <c r="K99">
        <v>1.1106096478248</v>
      </c>
      <c r="L99">
        <v>11018.798393535501</v>
      </c>
      <c r="M99">
        <v>250</v>
      </c>
      <c r="O99">
        <v>44.0723738352415</v>
      </c>
      <c r="P99">
        <v>0.248310893167667</v>
      </c>
      <c r="Q99">
        <v>1.1750984048689099</v>
      </c>
      <c r="R99">
        <v>0.11392833766279099</v>
      </c>
      <c r="S99" t="s">
        <v>1973</v>
      </c>
      <c r="T99" t="s">
        <v>3746</v>
      </c>
      <c r="U99" t="s">
        <v>3746</v>
      </c>
      <c r="V99" t="s">
        <v>3746</v>
      </c>
      <c r="W99" t="s">
        <v>3843</v>
      </c>
      <c r="X99">
        <v>3</v>
      </c>
      <c r="Y99" t="s">
        <v>5700</v>
      </c>
      <c r="Z99" t="s">
        <v>7487</v>
      </c>
      <c r="AA99">
        <v>1.1512995309712299</v>
      </c>
      <c r="AB99" t="str">
        <f>HYPERLINK("Melting_Curves/meltCurve_B4E2X5_GNAI2.pdf", "Melting_Curves/meltCurve_B4E2X5_GNAI2.pdf")</f>
        <v>Melting_Curves/meltCurve_B4E2X5_GNAI2.pdf</v>
      </c>
    </row>
    <row r="100" spans="1:28" x14ac:dyDescent="0.25">
      <c r="A100" t="s">
        <v>104</v>
      </c>
      <c r="B100">
        <v>1</v>
      </c>
      <c r="C100">
        <v>1.1754958643392599</v>
      </c>
      <c r="D100">
        <v>1.3030789233450399</v>
      </c>
      <c r="E100">
        <v>1.5678718636753399</v>
      </c>
      <c r="F100">
        <v>1.09471907936596</v>
      </c>
      <c r="G100">
        <v>1.1619131926194399</v>
      </c>
      <c r="H100">
        <v>0.67636725773880302</v>
      </c>
      <c r="I100">
        <v>1.09474674264848</v>
      </c>
      <c r="J100">
        <v>0.995103598993057</v>
      </c>
      <c r="K100">
        <v>0.92636034191817196</v>
      </c>
      <c r="L100">
        <v>1083.5090848668599</v>
      </c>
      <c r="M100">
        <v>12.7289021825459</v>
      </c>
      <c r="Q100">
        <v>0</v>
      </c>
      <c r="R100">
        <v>-0.18841341298644601</v>
      </c>
      <c r="S100" t="s">
        <v>1974</v>
      </c>
      <c r="T100" t="s">
        <v>3746</v>
      </c>
      <c r="U100" t="s">
        <v>3746</v>
      </c>
      <c r="V100" t="s">
        <v>3746</v>
      </c>
      <c r="W100" t="s">
        <v>3844</v>
      </c>
      <c r="X100">
        <v>8</v>
      </c>
      <c r="Y100" t="s">
        <v>5701</v>
      </c>
      <c r="Z100" t="s">
        <v>7488</v>
      </c>
      <c r="AA100">
        <v>0.99169095014102804</v>
      </c>
      <c r="AB100" t="str">
        <f>HYPERLINK("Melting_Curves/meltCurve_B4E2Z0_SPARCL1.pdf", "Melting_Curves/meltCurve_B4E2Z0_SPARCL1.pdf")</f>
        <v>Melting_Curves/meltCurve_B4E2Z0_SPARCL1.pdf</v>
      </c>
    </row>
    <row r="101" spans="1:28" x14ac:dyDescent="0.25">
      <c r="A101" t="s">
        <v>105</v>
      </c>
      <c r="B101">
        <v>1</v>
      </c>
      <c r="C101">
        <v>1.14402307314678</v>
      </c>
      <c r="D101">
        <v>1.4480854197349</v>
      </c>
      <c r="E101">
        <v>1.5933562428407799</v>
      </c>
      <c r="F101">
        <v>1.43276468663067</v>
      </c>
      <c r="G101">
        <v>1.70518327605956</v>
      </c>
      <c r="H101">
        <v>0.65864833906070996</v>
      </c>
      <c r="I101">
        <v>1.36440435280641</v>
      </c>
      <c r="J101">
        <v>1.1727622320405799</v>
      </c>
      <c r="K101">
        <v>1.19160121093111</v>
      </c>
      <c r="L101">
        <v>10733.8031503725</v>
      </c>
      <c r="M101">
        <v>250</v>
      </c>
      <c r="O101">
        <v>42.932465043503399</v>
      </c>
      <c r="P101">
        <v>0.46708638790905499</v>
      </c>
      <c r="Q101">
        <v>1.32085071988216</v>
      </c>
      <c r="R101">
        <v>0.13041976896584101</v>
      </c>
      <c r="S101" t="s">
        <v>1975</v>
      </c>
      <c r="T101" t="s">
        <v>3746</v>
      </c>
      <c r="U101" t="s">
        <v>3746</v>
      </c>
      <c r="V101" t="s">
        <v>3746</v>
      </c>
      <c r="W101" t="s">
        <v>3845</v>
      </c>
      <c r="X101">
        <v>2</v>
      </c>
      <c r="Y101" t="s">
        <v>5702</v>
      </c>
      <c r="Z101" t="s">
        <v>7489</v>
      </c>
      <c r="AA101">
        <v>1.2894343743547381</v>
      </c>
      <c r="AB101" t="str">
        <f>HYPERLINK("Melting_Curves/meltCurve_B4E351_IGFBP4.pdf", "Melting_Curves/meltCurve_B4E351_IGFBP4.pdf")</f>
        <v>Melting_Curves/meltCurve_B4E351_IGFBP4.pdf</v>
      </c>
    </row>
    <row r="102" spans="1:28" x14ac:dyDescent="0.25">
      <c r="A102" t="s">
        <v>106</v>
      </c>
      <c r="B102">
        <v>1</v>
      </c>
      <c r="C102">
        <v>1.3115987071108901</v>
      </c>
      <c r="D102">
        <v>1.6116360019890601</v>
      </c>
      <c r="E102">
        <v>1.8789781203381399</v>
      </c>
      <c r="F102">
        <v>1.4014793635007501</v>
      </c>
      <c r="G102">
        <v>1.63898557931377</v>
      </c>
      <c r="H102">
        <v>0.87108403779214305</v>
      </c>
      <c r="I102">
        <v>1.6850447538538</v>
      </c>
      <c r="J102">
        <v>1.5124316260566899</v>
      </c>
      <c r="K102">
        <v>1.41123818995525</v>
      </c>
      <c r="L102">
        <v>10703.4152058892</v>
      </c>
      <c r="M102">
        <v>250</v>
      </c>
      <c r="O102">
        <v>42.810921122131397</v>
      </c>
      <c r="P102">
        <v>0.72995392956772398</v>
      </c>
      <c r="Q102">
        <v>1.5</v>
      </c>
      <c r="R102">
        <v>0.27778318562654197</v>
      </c>
      <c r="S102" t="s">
        <v>1976</v>
      </c>
      <c r="T102" t="s">
        <v>3746</v>
      </c>
      <c r="U102" t="s">
        <v>3746</v>
      </c>
      <c r="V102" t="s">
        <v>3746</v>
      </c>
      <c r="W102" t="s">
        <v>3846</v>
      </c>
      <c r="X102">
        <v>1</v>
      </c>
      <c r="Y102" t="s">
        <v>5703</v>
      </c>
      <c r="Z102" t="s">
        <v>7490</v>
      </c>
      <c r="AA102">
        <v>1.4530680842294961</v>
      </c>
      <c r="AB102" t="str">
        <f>HYPERLINK("Melting_Curves/meltCurve_B4E3A5_PDGFC.pdf", "Melting_Curves/meltCurve_B4E3A5_PDGFC.pdf")</f>
        <v>Melting_Curves/meltCurve_B4E3A5_PDGFC.pdf</v>
      </c>
    </row>
    <row r="103" spans="1:28" x14ac:dyDescent="0.25">
      <c r="A103" t="s">
        <v>107</v>
      </c>
      <c r="B103">
        <v>1</v>
      </c>
      <c r="C103">
        <v>1.3348961338719001</v>
      </c>
      <c r="D103">
        <v>1.8371321407963099</v>
      </c>
      <c r="E103">
        <v>2.2476918638199601</v>
      </c>
      <c r="F103">
        <v>1.8552726485862701</v>
      </c>
      <c r="G103">
        <v>1.8517743796884001</v>
      </c>
      <c r="H103">
        <v>1.0236944604731699</v>
      </c>
      <c r="I103">
        <v>2.0138848817080199</v>
      </c>
      <c r="J103">
        <v>1.6464223889209499</v>
      </c>
      <c r="K103">
        <v>1.44334246970571</v>
      </c>
      <c r="L103">
        <v>10694.659147059199</v>
      </c>
      <c r="M103">
        <v>250</v>
      </c>
      <c r="O103">
        <v>42.7758774560928</v>
      </c>
      <c r="P103">
        <v>0.730551563242261</v>
      </c>
      <c r="Q103">
        <v>1.5</v>
      </c>
      <c r="R103">
        <v>7.6997008523532195E-2</v>
      </c>
      <c r="S103" t="s">
        <v>1977</v>
      </c>
      <c r="T103" t="s">
        <v>3746</v>
      </c>
      <c r="U103" t="s">
        <v>3746</v>
      </c>
      <c r="V103" t="s">
        <v>3746</v>
      </c>
      <c r="W103" t="s">
        <v>3847</v>
      </c>
      <c r="X103">
        <v>2</v>
      </c>
      <c r="Y103" t="s">
        <v>5704</v>
      </c>
      <c r="Z103" t="s">
        <v>7491</v>
      </c>
      <c r="AA103">
        <v>1.453651852204314</v>
      </c>
      <c r="AB103" t="str">
        <f>HYPERLINK("Melting_Curves/meltCurve_B4E3Q4_CECR1.pdf", "Melting_Curves/meltCurve_B4E3Q4_CECR1.pdf")</f>
        <v>Melting_Curves/meltCurve_B4E3Q4_CECR1.pdf</v>
      </c>
    </row>
    <row r="104" spans="1:28" x14ac:dyDescent="0.25">
      <c r="A104" t="s">
        <v>108</v>
      </c>
      <c r="B104">
        <v>1</v>
      </c>
      <c r="C104">
        <v>1.2237930515866999</v>
      </c>
      <c r="D104">
        <v>1.6600992630470699</v>
      </c>
      <c r="E104">
        <v>2.1719556825587798</v>
      </c>
      <c r="F104">
        <v>1.5768787286308701</v>
      </c>
      <c r="G104">
        <v>1.7891913570963101</v>
      </c>
      <c r="H104">
        <v>1.8001704516970001</v>
      </c>
      <c r="I104">
        <v>2.8093948964756601</v>
      </c>
      <c r="J104">
        <v>2.7401614277836299</v>
      </c>
      <c r="K104">
        <v>2.55271469393894</v>
      </c>
      <c r="L104">
        <v>10734.027379868199</v>
      </c>
      <c r="M104">
        <v>250</v>
      </c>
      <c r="O104">
        <v>42.933361902461201</v>
      </c>
      <c r="P104">
        <v>0.72787218746875604</v>
      </c>
      <c r="Q104">
        <v>1.5</v>
      </c>
      <c r="R104">
        <v>-0.44438819305221799</v>
      </c>
      <c r="S104" t="s">
        <v>1978</v>
      </c>
      <c r="T104" t="s">
        <v>3746</v>
      </c>
      <c r="U104" t="s">
        <v>3746</v>
      </c>
      <c r="V104" t="s">
        <v>3746</v>
      </c>
      <c r="W104" t="s">
        <v>3848</v>
      </c>
      <c r="X104">
        <v>4</v>
      </c>
      <c r="Y104" t="s">
        <v>5705</v>
      </c>
      <c r="Z104" t="s">
        <v>7492</v>
      </c>
      <c r="AA104">
        <v>1.451027165213685</v>
      </c>
      <c r="AB104" t="str">
        <f>HYPERLINK("Melting_Curves/meltCurve_B5MBX2_TCN2.pdf", "Melting_Curves/meltCurve_B5MBX2_TCN2.pdf")</f>
        <v>Melting_Curves/meltCurve_B5MBX2_TCN2.pdf</v>
      </c>
    </row>
    <row r="105" spans="1:28" x14ac:dyDescent="0.25">
      <c r="A105" t="s">
        <v>109</v>
      </c>
      <c r="B105">
        <v>1</v>
      </c>
      <c r="C105">
        <v>0.98786575811682398</v>
      </c>
      <c r="D105">
        <v>1.3618409066064201</v>
      </c>
      <c r="E105">
        <v>1.75429071165689</v>
      </c>
      <c r="F105">
        <v>1.16729220566265</v>
      </c>
      <c r="G105">
        <v>1.5779980322850999</v>
      </c>
      <c r="H105">
        <v>0.80228109171737805</v>
      </c>
      <c r="I105">
        <v>1.259665488467</v>
      </c>
      <c r="J105">
        <v>1.1500200415406501</v>
      </c>
      <c r="K105">
        <v>1.0099114528294999</v>
      </c>
      <c r="L105">
        <v>11053.482677186301</v>
      </c>
      <c r="M105">
        <v>250</v>
      </c>
      <c r="O105">
        <v>44.211101464812103</v>
      </c>
      <c r="P105">
        <v>0.36813552591318699</v>
      </c>
      <c r="Q105">
        <v>1.2604108322087499</v>
      </c>
      <c r="R105">
        <v>0.14895174044579601</v>
      </c>
      <c r="S105" t="s">
        <v>1979</v>
      </c>
      <c r="T105" t="s">
        <v>3746</v>
      </c>
      <c r="U105" t="s">
        <v>3746</v>
      </c>
      <c r="V105" t="s">
        <v>3746</v>
      </c>
      <c r="W105" t="s">
        <v>3849</v>
      </c>
      <c r="X105">
        <v>3</v>
      </c>
      <c r="Y105" t="s">
        <v>5706</v>
      </c>
      <c r="Z105" t="s">
        <v>7493</v>
      </c>
      <c r="AA105">
        <v>1.2238121856015021</v>
      </c>
      <c r="AB105" t="str">
        <f>HYPERLINK("Melting_Curves/meltCurve_B5MC82_DDT.pdf", "Melting_Curves/meltCurve_B5MC82_DDT.pdf")</f>
        <v>Melting_Curves/meltCurve_B5MC82_DDT.pdf</v>
      </c>
    </row>
    <row r="106" spans="1:28" x14ac:dyDescent="0.25">
      <c r="A106" t="s">
        <v>110</v>
      </c>
      <c r="B106">
        <v>1</v>
      </c>
      <c r="C106">
        <v>1.0640441587478999</v>
      </c>
      <c r="D106">
        <v>1.2359837898267201</v>
      </c>
      <c r="E106">
        <v>1.41042481833426</v>
      </c>
      <c r="F106">
        <v>0.900251537171604</v>
      </c>
      <c r="G106">
        <v>0.987059809949693</v>
      </c>
      <c r="H106">
        <v>0.56338736724427096</v>
      </c>
      <c r="I106">
        <v>0.78921185019564</v>
      </c>
      <c r="J106">
        <v>0.81238121855785395</v>
      </c>
      <c r="K106">
        <v>0.80830072666293995</v>
      </c>
      <c r="L106">
        <v>14417.3192259138</v>
      </c>
      <c r="M106">
        <v>250</v>
      </c>
      <c r="O106">
        <v>57.665590296025599</v>
      </c>
      <c r="P106">
        <v>-0.27819850589443801</v>
      </c>
      <c r="Q106">
        <v>0.74332032040159801</v>
      </c>
      <c r="R106">
        <v>0.46550340769169801</v>
      </c>
      <c r="S106" t="s">
        <v>1980</v>
      </c>
      <c r="T106" t="s">
        <v>3746</v>
      </c>
      <c r="U106" t="s">
        <v>3746</v>
      </c>
      <c r="V106" t="s">
        <v>3746</v>
      </c>
      <c r="W106" t="s">
        <v>3850</v>
      </c>
      <c r="X106">
        <v>3</v>
      </c>
      <c r="Y106" t="s">
        <v>5707</v>
      </c>
      <c r="Z106" t="s">
        <v>7494</v>
      </c>
      <c r="AA106">
        <v>0.89452444309289403</v>
      </c>
      <c r="AB106" t="str">
        <f>HYPERLINK("Melting_Curves/meltCurve_B5MCA4_EPCAM.pdf", "Melting_Curves/meltCurve_B5MCA4_EPCAM.pdf")</f>
        <v>Melting_Curves/meltCurve_B5MCA4_EPCAM.pdf</v>
      </c>
    </row>
    <row r="107" spans="1:28" x14ac:dyDescent="0.25">
      <c r="A107" t="s">
        <v>111</v>
      </c>
      <c r="B107">
        <v>1</v>
      </c>
      <c r="C107">
        <v>0.753412457514677</v>
      </c>
      <c r="D107">
        <v>1.17341282102546</v>
      </c>
      <c r="E107">
        <v>1.31718133735619</v>
      </c>
      <c r="F107">
        <v>0.78278412911903195</v>
      </c>
      <c r="G107">
        <v>0.93433177629546205</v>
      </c>
      <c r="H107">
        <v>0.64386848179719702</v>
      </c>
      <c r="I107">
        <v>1.0459114124211599</v>
      </c>
      <c r="J107">
        <v>0.95472473145640602</v>
      </c>
      <c r="K107">
        <v>0.84414474999545597</v>
      </c>
      <c r="L107">
        <v>5089.2569459442802</v>
      </c>
      <c r="M107">
        <v>98.237569581497894</v>
      </c>
      <c r="O107">
        <v>51.784172182088597</v>
      </c>
      <c r="P107">
        <v>-6.2361527870224302E-2</v>
      </c>
      <c r="Q107">
        <v>0.86850902277408903</v>
      </c>
      <c r="R107">
        <v>0.19055464232923</v>
      </c>
      <c r="S107" t="s">
        <v>1981</v>
      </c>
      <c r="T107" t="s">
        <v>3746</v>
      </c>
      <c r="U107" t="s">
        <v>3746</v>
      </c>
      <c r="V107" t="s">
        <v>3746</v>
      </c>
      <c r="W107" t="s">
        <v>3851</v>
      </c>
      <c r="X107">
        <v>1</v>
      </c>
      <c r="Y107" t="s">
        <v>5708</v>
      </c>
      <c r="Z107" t="s">
        <v>7495</v>
      </c>
      <c r="AA107">
        <v>0.92033090107311299</v>
      </c>
      <c r="AB107" t="str">
        <f>HYPERLINK("Melting_Curves/meltCurve_B5MD23_TSPAN9.pdf", "Melting_Curves/meltCurve_B5MD23_TSPAN9.pdf")</f>
        <v>Melting_Curves/meltCurve_B5MD23_TSPAN9.pdf</v>
      </c>
    </row>
    <row r="108" spans="1:28" x14ac:dyDescent="0.25">
      <c r="A108" t="s">
        <v>112</v>
      </c>
      <c r="B108">
        <v>1</v>
      </c>
      <c r="C108">
        <v>1.3401327216853001</v>
      </c>
      <c r="D108">
        <v>1.62951498686144</v>
      </c>
      <c r="E108">
        <v>1.8024317463145201</v>
      </c>
      <c r="F108">
        <v>1.4234178060838201</v>
      </c>
      <c r="G108">
        <v>1.5220683204916901</v>
      </c>
      <c r="H108">
        <v>0.89594931634970798</v>
      </c>
      <c r="I108">
        <v>1.8200240502382801</v>
      </c>
      <c r="J108">
        <v>1.8068854941433199</v>
      </c>
      <c r="K108">
        <v>1.4982407696076201</v>
      </c>
      <c r="L108">
        <v>55.6445815862945</v>
      </c>
      <c r="M108">
        <v>21.873678346109099</v>
      </c>
      <c r="Q108">
        <v>1.4738665238888899</v>
      </c>
      <c r="R108">
        <v>2.16996198787456E-10</v>
      </c>
      <c r="S108" t="s">
        <v>1982</v>
      </c>
      <c r="T108" t="s">
        <v>3746</v>
      </c>
      <c r="U108" t="s">
        <v>3746</v>
      </c>
      <c r="V108" t="s">
        <v>3746</v>
      </c>
      <c r="W108" t="s">
        <v>3852</v>
      </c>
      <c r="X108">
        <v>1</v>
      </c>
      <c r="Y108" t="s">
        <v>5709</v>
      </c>
      <c r="Z108" t="s">
        <v>7496</v>
      </c>
      <c r="AA108">
        <v>1.473866523459235</v>
      </c>
      <c r="AB108" t="str">
        <f>HYPERLINK("Melting_Curves/meltCurve_B5MD87_PYCRL.pdf", "Melting_Curves/meltCurve_B5MD87_PYCRL.pdf")</f>
        <v>Melting_Curves/meltCurve_B5MD87_PYCRL.pdf</v>
      </c>
    </row>
    <row r="109" spans="1:28" x14ac:dyDescent="0.25">
      <c r="A109" t="s">
        <v>113</v>
      </c>
      <c r="B109">
        <v>1</v>
      </c>
      <c r="C109">
        <v>1.0173577627772401</v>
      </c>
      <c r="D109">
        <v>2.0572163291546102</v>
      </c>
      <c r="E109">
        <v>2.6939354976963501</v>
      </c>
      <c r="F109">
        <v>1.2680274295510601</v>
      </c>
      <c r="G109">
        <v>1.9173631201114301</v>
      </c>
      <c r="H109">
        <v>1.35130718954248</v>
      </c>
      <c r="I109">
        <v>1.69814100503589</v>
      </c>
      <c r="J109">
        <v>1.73963355834137</v>
      </c>
      <c r="K109">
        <v>1.7720186435229801</v>
      </c>
      <c r="L109">
        <v>10867.610177078401</v>
      </c>
      <c r="M109">
        <v>250</v>
      </c>
      <c r="O109">
        <v>43.467653016642501</v>
      </c>
      <c r="P109">
        <v>0.71892530738531202</v>
      </c>
      <c r="Q109">
        <v>1.5</v>
      </c>
      <c r="R109">
        <v>0.105145614902611</v>
      </c>
      <c r="S109" t="s">
        <v>1983</v>
      </c>
      <c r="T109" t="s">
        <v>3746</v>
      </c>
      <c r="U109" t="s">
        <v>3746</v>
      </c>
      <c r="V109" t="s">
        <v>3746</v>
      </c>
      <c r="W109" t="s">
        <v>3853</v>
      </c>
      <c r="X109">
        <v>1</v>
      </c>
      <c r="Y109" t="s">
        <v>5710</v>
      </c>
      <c r="Z109" t="s">
        <v>7497</v>
      </c>
      <c r="AA109">
        <v>1.442121176553715</v>
      </c>
      <c r="AB109" t="str">
        <f>HYPERLINK("Melting_Curves/meltCurve_B7WPD9_KIF26B.pdf", "Melting_Curves/meltCurve_B7WPD9_KIF26B.pdf")</f>
        <v>Melting_Curves/meltCurve_B7WPD9_KIF26B.pdf</v>
      </c>
    </row>
    <row r="110" spans="1:28" x14ac:dyDescent="0.25">
      <c r="A110" t="s">
        <v>114</v>
      </c>
      <c r="B110">
        <v>1</v>
      </c>
      <c r="C110">
        <v>0.77231723084156101</v>
      </c>
      <c r="D110">
        <v>1.0544046779501599</v>
      </c>
      <c r="E110">
        <v>1.17407146215327</v>
      </c>
      <c r="F110">
        <v>0.89279207804419403</v>
      </c>
      <c r="G110">
        <v>1.00268864598025</v>
      </c>
      <c r="H110">
        <v>0.53978608368594305</v>
      </c>
      <c r="I110">
        <v>0.88115597085096398</v>
      </c>
      <c r="J110">
        <v>0.97083627174424103</v>
      </c>
      <c r="K110">
        <v>0.68830806299952996</v>
      </c>
      <c r="L110">
        <v>14581.756997128099</v>
      </c>
      <c r="M110">
        <v>249.57354191150199</v>
      </c>
      <c r="O110">
        <v>58.422942446105203</v>
      </c>
      <c r="P110">
        <v>-0.24560603561930899</v>
      </c>
      <c r="Q110">
        <v>0.770023262057282</v>
      </c>
      <c r="R110">
        <v>0.33816098931650201</v>
      </c>
      <c r="S110" t="s">
        <v>1984</v>
      </c>
      <c r="T110" t="s">
        <v>3746</v>
      </c>
      <c r="U110" t="s">
        <v>3746</v>
      </c>
      <c r="V110" t="s">
        <v>3746</v>
      </c>
      <c r="W110" t="s">
        <v>3854</v>
      </c>
      <c r="X110">
        <v>1</v>
      </c>
      <c r="Y110" t="s">
        <v>5711</v>
      </c>
      <c r="Z110" t="s">
        <v>7498</v>
      </c>
      <c r="AA110">
        <v>0.91130395767174588</v>
      </c>
      <c r="AB110" t="str">
        <f>HYPERLINK("Melting_Curves/meltCurve_B7Z1I4_NTM.pdf", "Melting_Curves/meltCurve_B7Z1I4_NTM.pdf")</f>
        <v>Melting_Curves/meltCurve_B7Z1I4_NTM.pdf</v>
      </c>
    </row>
    <row r="111" spans="1:28" x14ac:dyDescent="0.25">
      <c r="A111" t="s">
        <v>115</v>
      </c>
      <c r="B111">
        <v>1</v>
      </c>
      <c r="C111">
        <v>1.2974075604213999</v>
      </c>
      <c r="D111">
        <v>2.2043999173724398</v>
      </c>
      <c r="E111">
        <v>3.8150175583557102</v>
      </c>
      <c r="F111">
        <v>2.4371514149969</v>
      </c>
      <c r="G111">
        <v>2.5843317496384999</v>
      </c>
      <c r="H111">
        <v>2.0869655029952501</v>
      </c>
      <c r="I111">
        <v>2.9459822350753999</v>
      </c>
      <c r="J111">
        <v>2.9390621772361101</v>
      </c>
      <c r="K111">
        <v>3.00738483784342</v>
      </c>
      <c r="S111" t="s">
        <v>1985</v>
      </c>
      <c r="T111" t="s">
        <v>3746</v>
      </c>
      <c r="U111" t="s">
        <v>3747</v>
      </c>
      <c r="V111" t="s">
        <v>3746</v>
      </c>
      <c r="W111" t="s">
        <v>3855</v>
      </c>
      <c r="X111">
        <v>4</v>
      </c>
      <c r="Y111" t="s">
        <v>5712</v>
      </c>
      <c r="Z111" t="s">
        <v>7499</v>
      </c>
      <c r="AB111" t="str">
        <f>HYPERLINK("Melting_Curves/meltCurve_B7Z1R5_ATP6V1A.pdf", "Melting_Curves/meltCurve_B7Z1R5_ATP6V1A.pdf")</f>
        <v>Melting_Curves/meltCurve_B7Z1R5_ATP6V1A.pdf</v>
      </c>
    </row>
    <row r="112" spans="1:28" x14ac:dyDescent="0.25">
      <c r="A112" t="s">
        <v>116</v>
      </c>
      <c r="B112">
        <v>1</v>
      </c>
      <c r="C112">
        <v>1.0718116415958101</v>
      </c>
      <c r="D112">
        <v>1.4793982995421799</v>
      </c>
      <c r="E112">
        <v>2.0015696533682101</v>
      </c>
      <c r="F112">
        <v>1.66457379550905</v>
      </c>
      <c r="G112">
        <v>2.3777196424678402</v>
      </c>
      <c r="H112">
        <v>1.6521473730106799</v>
      </c>
      <c r="I112">
        <v>2.8092871157619399</v>
      </c>
      <c r="J112">
        <v>2.7252670590800099</v>
      </c>
      <c r="K112">
        <v>2.44190102463484</v>
      </c>
      <c r="L112">
        <v>3280.8833620861801</v>
      </c>
      <c r="M112">
        <v>74.683216099317306</v>
      </c>
      <c r="O112">
        <v>43.899197657581396</v>
      </c>
      <c r="P112">
        <v>0.21265544959824201</v>
      </c>
      <c r="Q112">
        <v>1.5</v>
      </c>
      <c r="R112">
        <v>-0.35303230107876599</v>
      </c>
      <c r="S112" t="s">
        <v>1986</v>
      </c>
      <c r="T112" t="s">
        <v>3746</v>
      </c>
      <c r="U112" t="s">
        <v>3746</v>
      </c>
      <c r="V112" t="s">
        <v>3746</v>
      </c>
      <c r="W112" t="s">
        <v>3856</v>
      </c>
      <c r="X112">
        <v>5</v>
      </c>
      <c r="Y112" t="s">
        <v>5713</v>
      </c>
      <c r="Z112" t="s">
        <v>7500</v>
      </c>
      <c r="AA112">
        <v>1.434050816120753</v>
      </c>
      <c r="AB112" t="str">
        <f>HYPERLINK("Melting_Curves/meltCurve_B7Z254_PDIA6.pdf", "Melting_Curves/meltCurve_B7Z254_PDIA6.pdf")</f>
        <v>Melting_Curves/meltCurve_B7Z254_PDIA6.pdf</v>
      </c>
    </row>
    <row r="113" spans="1:28" x14ac:dyDescent="0.25">
      <c r="A113" t="s">
        <v>117</v>
      </c>
      <c r="B113">
        <v>1</v>
      </c>
      <c r="C113">
        <v>0.90777756726032599</v>
      </c>
      <c r="D113">
        <v>1.1789977264115199</v>
      </c>
      <c r="E113">
        <v>1.41066691928761</v>
      </c>
      <c r="F113">
        <v>0.93041871921182295</v>
      </c>
      <c r="G113">
        <v>1.0807123910572201</v>
      </c>
      <c r="H113">
        <v>0.81953391436150103</v>
      </c>
      <c r="I113">
        <v>1.0296513830996601</v>
      </c>
      <c r="J113">
        <v>1.0105627131489201</v>
      </c>
      <c r="K113">
        <v>0.90199886320575995</v>
      </c>
      <c r="L113">
        <v>15000</v>
      </c>
      <c r="M113">
        <v>212.06607009853499</v>
      </c>
      <c r="Q113">
        <v>0</v>
      </c>
      <c r="R113">
        <v>8.9575963160548593E-3</v>
      </c>
      <c r="S113" t="s">
        <v>1987</v>
      </c>
      <c r="T113" t="s">
        <v>3746</v>
      </c>
      <c r="U113" t="s">
        <v>3746</v>
      </c>
      <c r="V113" t="s">
        <v>3746</v>
      </c>
      <c r="W113" t="s">
        <v>3857</v>
      </c>
      <c r="X113">
        <v>5</v>
      </c>
      <c r="Y113" t="s">
        <v>5714</v>
      </c>
      <c r="Z113" t="s">
        <v>7501</v>
      </c>
      <c r="AA113">
        <v>0.99888751450931323</v>
      </c>
      <c r="AB113" t="str">
        <f>HYPERLINK("Melting_Curves/meltCurve_B7Z3I9_ALAD.pdf", "Melting_Curves/meltCurve_B7Z3I9_ALAD.pdf")</f>
        <v>Melting_Curves/meltCurve_B7Z3I9_ALAD.pdf</v>
      </c>
    </row>
    <row r="114" spans="1:28" x14ac:dyDescent="0.25">
      <c r="A114" t="s">
        <v>118</v>
      </c>
      <c r="B114">
        <v>1</v>
      </c>
      <c r="C114">
        <v>1.1937868893633099</v>
      </c>
      <c r="D114">
        <v>1.55257126711039</v>
      </c>
      <c r="E114">
        <v>1.8100904181841</v>
      </c>
      <c r="F114">
        <v>1.1780892879567999</v>
      </c>
      <c r="G114">
        <v>1.55899158608565</v>
      </c>
      <c r="H114">
        <v>0.83216124576164796</v>
      </c>
      <c r="I114">
        <v>1.23613901795806</v>
      </c>
      <c r="J114">
        <v>1.14416677131734</v>
      </c>
      <c r="K114">
        <v>1.13564297375361</v>
      </c>
      <c r="L114">
        <v>162.49166177761299</v>
      </c>
      <c r="M114">
        <v>23.958236771170299</v>
      </c>
      <c r="Q114">
        <v>1.2641639457485401</v>
      </c>
      <c r="R114">
        <v>1.3014256339261E-11</v>
      </c>
      <c r="S114" t="s">
        <v>1988</v>
      </c>
      <c r="T114" t="s">
        <v>3746</v>
      </c>
      <c r="U114" t="s">
        <v>3746</v>
      </c>
      <c r="V114" t="s">
        <v>3746</v>
      </c>
      <c r="W114" t="s">
        <v>3858</v>
      </c>
      <c r="X114">
        <v>5</v>
      </c>
      <c r="Y114" t="s">
        <v>5715</v>
      </c>
      <c r="Z114" t="s">
        <v>7502</v>
      </c>
      <c r="AA114">
        <v>1.2641639455041589</v>
      </c>
      <c r="AB114" t="str">
        <f>HYPERLINK("Melting_Curves/meltCurve_B7Z4K6_DNASE2.pdf", "Melting_Curves/meltCurve_B7Z4K6_DNASE2.pdf")</f>
        <v>Melting_Curves/meltCurve_B7Z4K6_DNASE2.pdf</v>
      </c>
    </row>
    <row r="115" spans="1:28" x14ac:dyDescent="0.25">
      <c r="A115" t="s">
        <v>119</v>
      </c>
      <c r="B115">
        <v>1</v>
      </c>
      <c r="C115">
        <v>1.1196287920143499</v>
      </c>
      <c r="D115">
        <v>1.3536613896904</v>
      </c>
      <c r="E115">
        <v>1.66450908523746</v>
      </c>
      <c r="F115">
        <v>0.92583638774077803</v>
      </c>
      <c r="G115">
        <v>1.4899009592139101</v>
      </c>
      <c r="H115">
        <v>0.97535678078452803</v>
      </c>
      <c r="I115">
        <v>1.6362785619589799</v>
      </c>
      <c r="J115">
        <v>1.24612025267098</v>
      </c>
      <c r="K115">
        <v>1.2327068548701601</v>
      </c>
      <c r="L115">
        <v>10746.162566524699</v>
      </c>
      <c r="M115">
        <v>250</v>
      </c>
      <c r="O115">
        <v>42.981899488366402</v>
      </c>
      <c r="P115">
        <v>0.45883600125525098</v>
      </c>
      <c r="Q115">
        <v>1.3155462861637199</v>
      </c>
      <c r="R115">
        <v>0.17263416055994199</v>
      </c>
      <c r="S115" t="s">
        <v>1989</v>
      </c>
      <c r="T115" t="s">
        <v>3746</v>
      </c>
      <c r="U115" t="s">
        <v>3746</v>
      </c>
      <c r="V115" t="s">
        <v>3746</v>
      </c>
      <c r="W115" t="s">
        <v>3859</v>
      </c>
      <c r="X115">
        <v>1</v>
      </c>
      <c r="Y115" t="s">
        <v>5716</v>
      </c>
      <c r="Z115" t="s">
        <v>7503</v>
      </c>
      <c r="AA115">
        <v>1.28412930526362</v>
      </c>
      <c r="AB115" t="str">
        <f>HYPERLINK("Melting_Curves/meltCurve_B7Z4L4_RPN1.pdf", "Melting_Curves/meltCurve_B7Z4L4_RPN1.pdf")</f>
        <v>Melting_Curves/meltCurve_B7Z4L4_RPN1.pdf</v>
      </c>
    </row>
    <row r="116" spans="1:28" x14ac:dyDescent="0.25">
      <c r="A116" t="s">
        <v>120</v>
      </c>
      <c r="B116">
        <v>1</v>
      </c>
      <c r="C116">
        <v>1.03480419474137</v>
      </c>
      <c r="D116">
        <v>1.35412128273975</v>
      </c>
      <c r="E116">
        <v>1.96625968894068</v>
      </c>
      <c r="F116">
        <v>1.30138304878667</v>
      </c>
      <c r="G116">
        <v>1.33319823699276</v>
      </c>
      <c r="H116">
        <v>1.1811135315872101</v>
      </c>
      <c r="I116">
        <v>1.51679416383809</v>
      </c>
      <c r="J116">
        <v>1.7681240184406499</v>
      </c>
      <c r="K116">
        <v>1.5773342114595501</v>
      </c>
      <c r="L116">
        <v>5496.5044987717401</v>
      </c>
      <c r="M116">
        <v>120.377408643846</v>
      </c>
      <c r="O116">
        <v>45.6479999254218</v>
      </c>
      <c r="P116">
        <v>0.32963495588688901</v>
      </c>
      <c r="Q116">
        <v>1.5</v>
      </c>
      <c r="R116">
        <v>0.45765383953801098</v>
      </c>
      <c r="S116" t="s">
        <v>1990</v>
      </c>
      <c r="T116" t="s">
        <v>3746</v>
      </c>
      <c r="U116" t="s">
        <v>3746</v>
      </c>
      <c r="V116" t="s">
        <v>3746</v>
      </c>
      <c r="W116" t="s">
        <v>3860</v>
      </c>
      <c r="X116">
        <v>2</v>
      </c>
      <c r="Y116" t="s">
        <v>5717</v>
      </c>
      <c r="Z116" t="s">
        <v>7504</v>
      </c>
      <c r="AA116">
        <v>1.405483755755649</v>
      </c>
      <c r="AB116" t="str">
        <f>HYPERLINK("Melting_Curves/meltCurve_B7Z5C0_DNAJA1.pdf", "Melting_Curves/meltCurve_B7Z5C0_DNAJA1.pdf")</f>
        <v>Melting_Curves/meltCurve_B7Z5C0_DNAJA1.pdf</v>
      </c>
    </row>
    <row r="117" spans="1:28" x14ac:dyDescent="0.25">
      <c r="A117" t="s">
        <v>121</v>
      </c>
      <c r="B117">
        <v>1</v>
      </c>
      <c r="C117">
        <v>1.07535201114902</v>
      </c>
      <c r="D117">
        <v>1.5141525301552199</v>
      </c>
      <c r="E117">
        <v>1.8023451391224901</v>
      </c>
      <c r="F117">
        <v>1.1944351001970299</v>
      </c>
      <c r="G117">
        <v>1.19914460089384</v>
      </c>
      <c r="H117">
        <v>0.90071603633043396</v>
      </c>
      <c r="I117">
        <v>1.82469123936758</v>
      </c>
      <c r="J117">
        <v>1.61521457061848</v>
      </c>
      <c r="K117">
        <v>1.5895525974338001</v>
      </c>
      <c r="L117">
        <v>10794.3759671523</v>
      </c>
      <c r="M117">
        <v>250</v>
      </c>
      <c r="O117">
        <v>43.174733030333599</v>
      </c>
      <c r="P117">
        <v>0.65870616373825297</v>
      </c>
      <c r="Q117">
        <v>1.4550314857659801</v>
      </c>
      <c r="R117">
        <v>0.274210350101877</v>
      </c>
      <c r="S117" t="s">
        <v>1991</v>
      </c>
      <c r="T117" t="s">
        <v>3746</v>
      </c>
      <c r="U117" t="s">
        <v>3746</v>
      </c>
      <c r="V117" t="s">
        <v>3746</v>
      </c>
      <c r="W117" t="s">
        <v>3861</v>
      </c>
      <c r="X117">
        <v>2</v>
      </c>
      <c r="Y117" t="s">
        <v>5718</v>
      </c>
      <c r="Z117" t="s">
        <v>7505</v>
      </c>
      <c r="AA117">
        <v>1.4068015284856239</v>
      </c>
      <c r="AB117" t="str">
        <f>HYPERLINK("Melting_Curves/meltCurve_B7Z5N7_SCFD1.pdf", "Melting_Curves/meltCurve_B7Z5N7_SCFD1.pdf")</f>
        <v>Melting_Curves/meltCurve_B7Z5N7_SCFD1.pdf</v>
      </c>
    </row>
    <row r="118" spans="1:28" x14ac:dyDescent="0.25">
      <c r="A118" t="s">
        <v>122</v>
      </c>
      <c r="B118">
        <v>1</v>
      </c>
      <c r="C118">
        <v>1.0098392128629701</v>
      </c>
      <c r="D118">
        <v>1.1955843532517401</v>
      </c>
      <c r="E118">
        <v>1.35293176545876</v>
      </c>
      <c r="F118">
        <v>1.0496760259179301</v>
      </c>
      <c r="G118">
        <v>1.07527397808175</v>
      </c>
      <c r="H118">
        <v>0.60507959363250896</v>
      </c>
      <c r="I118">
        <v>0.87081033517318596</v>
      </c>
      <c r="J118">
        <v>0.90264778817694602</v>
      </c>
      <c r="K118">
        <v>0.85257179425645901</v>
      </c>
      <c r="L118">
        <v>4125.9621175417396</v>
      </c>
      <c r="M118">
        <v>70.465230576062595</v>
      </c>
      <c r="O118">
        <v>58.506049011764802</v>
      </c>
      <c r="P118">
        <v>-5.63127364180376E-2</v>
      </c>
      <c r="Q118">
        <v>0.81297809394513498</v>
      </c>
      <c r="R118">
        <v>0.36981129141762897</v>
      </c>
      <c r="S118" t="s">
        <v>1992</v>
      </c>
      <c r="T118" t="s">
        <v>3746</v>
      </c>
      <c r="U118" t="s">
        <v>3746</v>
      </c>
      <c r="V118" t="s">
        <v>3746</v>
      </c>
      <c r="W118" t="s">
        <v>3862</v>
      </c>
      <c r="X118">
        <v>2</v>
      </c>
      <c r="Y118" t="s">
        <v>5719</v>
      </c>
      <c r="Z118" t="s">
        <v>7506</v>
      </c>
      <c r="AA118">
        <v>0.92888214334077701</v>
      </c>
      <c r="AB118" t="str">
        <f>HYPERLINK("Melting_Curves/meltCurve_B7Z5W1_F11R.pdf", "Melting_Curves/meltCurve_B7Z5W1_F11R.pdf")</f>
        <v>Melting_Curves/meltCurve_B7Z5W1_F11R.pdf</v>
      </c>
    </row>
    <row r="119" spans="1:28" x14ac:dyDescent="0.25">
      <c r="A119" t="s">
        <v>123</v>
      </c>
      <c r="B119">
        <v>1</v>
      </c>
      <c r="C119">
        <v>1.1721912631309299</v>
      </c>
      <c r="D119">
        <v>1.82439789905201</v>
      </c>
      <c r="E119">
        <v>2.1190430438124501</v>
      </c>
      <c r="F119">
        <v>1.4054413271842201</v>
      </c>
      <c r="G119">
        <v>1.7055790417627501</v>
      </c>
      <c r="H119">
        <v>0.93293620292083002</v>
      </c>
      <c r="I119">
        <v>1.45564309505509</v>
      </c>
      <c r="J119">
        <v>1.4901518063028401</v>
      </c>
      <c r="K119">
        <v>1.36588841916475</v>
      </c>
      <c r="L119">
        <v>10752.6200248189</v>
      </c>
      <c r="M119">
        <v>250</v>
      </c>
      <c r="O119">
        <v>43.007733648287797</v>
      </c>
      <c r="P119">
        <v>0.72661360384559603</v>
      </c>
      <c r="Q119">
        <v>1.5</v>
      </c>
      <c r="R119">
        <v>0.27214411102215202</v>
      </c>
      <c r="S119" t="s">
        <v>1993</v>
      </c>
      <c r="T119" t="s">
        <v>3746</v>
      </c>
      <c r="U119" t="s">
        <v>3746</v>
      </c>
      <c r="V119" t="s">
        <v>3746</v>
      </c>
      <c r="W119" t="s">
        <v>3863</v>
      </c>
      <c r="X119">
        <v>6</v>
      </c>
      <c r="Y119" t="s">
        <v>5720</v>
      </c>
      <c r="Z119" t="s">
        <v>7507</v>
      </c>
      <c r="AA119">
        <v>1.449787590300561</v>
      </c>
      <c r="AB119" t="str">
        <f>HYPERLINK("Melting_Curves/meltCurve_B7Z729_SMPDL3A.pdf", "Melting_Curves/meltCurve_B7Z729_SMPDL3A.pdf")</f>
        <v>Melting_Curves/meltCurve_B7Z729_SMPDL3A.pdf</v>
      </c>
    </row>
    <row r="120" spans="1:28" x14ac:dyDescent="0.25">
      <c r="A120" t="s">
        <v>124</v>
      </c>
      <c r="B120">
        <v>1</v>
      </c>
      <c r="C120">
        <v>0.86137629276054095</v>
      </c>
      <c r="D120">
        <v>1.1490099885088001</v>
      </c>
      <c r="E120">
        <v>1.5646159285777399</v>
      </c>
      <c r="F120">
        <v>1.23552550163529</v>
      </c>
      <c r="G120">
        <v>1.3786572969150499</v>
      </c>
      <c r="H120">
        <v>1.01942455582074</v>
      </c>
      <c r="I120">
        <v>1.44999116061169</v>
      </c>
      <c r="J120">
        <v>1.75793335101211</v>
      </c>
      <c r="K120">
        <v>1.58284716697605</v>
      </c>
      <c r="L120">
        <v>549.40424565568105</v>
      </c>
      <c r="M120">
        <v>11.0353663596565</v>
      </c>
      <c r="O120">
        <v>48.234727734017099</v>
      </c>
      <c r="P120">
        <v>2.8607614933928799E-2</v>
      </c>
      <c r="Q120">
        <v>1.5</v>
      </c>
      <c r="R120">
        <v>0.457492807315866</v>
      </c>
      <c r="S120" t="s">
        <v>1994</v>
      </c>
      <c r="T120" t="s">
        <v>3746</v>
      </c>
      <c r="U120" t="s">
        <v>3746</v>
      </c>
      <c r="V120" t="s">
        <v>3746</v>
      </c>
      <c r="W120" t="s">
        <v>3864</v>
      </c>
      <c r="X120">
        <v>4</v>
      </c>
      <c r="Y120" t="s">
        <v>5721</v>
      </c>
      <c r="Z120" t="s">
        <v>7508</v>
      </c>
      <c r="AA120">
        <v>1.3169568393772679</v>
      </c>
      <c r="AB120" t="str">
        <f>HYPERLINK("Melting_Curves/meltCurve_B7Z7P8_ETF1.pdf", "Melting_Curves/meltCurve_B7Z7P8_ETF1.pdf")</f>
        <v>Melting_Curves/meltCurve_B7Z7P8_ETF1.pdf</v>
      </c>
    </row>
    <row r="121" spans="1:28" x14ac:dyDescent="0.25">
      <c r="A121" t="s">
        <v>125</v>
      </c>
      <c r="B121">
        <v>1</v>
      </c>
      <c r="C121">
        <v>0.87589450010222902</v>
      </c>
      <c r="D121">
        <v>1.10967082396238</v>
      </c>
      <c r="E121">
        <v>1.4790431404620701</v>
      </c>
      <c r="F121">
        <v>0.69981598855039895</v>
      </c>
      <c r="G121">
        <v>0.73265180944592101</v>
      </c>
      <c r="H121">
        <v>0.94839501124514403</v>
      </c>
      <c r="I121">
        <v>0.82253117971784895</v>
      </c>
      <c r="J121">
        <v>0.78143528930688999</v>
      </c>
      <c r="K121">
        <v>0.65593948067879804</v>
      </c>
      <c r="L121">
        <v>6312.8051842052901</v>
      </c>
      <c r="M121">
        <v>121.783975269085</v>
      </c>
      <c r="O121">
        <v>51.822116862356999</v>
      </c>
      <c r="P121">
        <v>-0.13111682628214399</v>
      </c>
      <c r="Q121">
        <v>0.77682609535321701</v>
      </c>
      <c r="R121">
        <v>0.41384994187047103</v>
      </c>
      <c r="S121" t="s">
        <v>1995</v>
      </c>
      <c r="T121" t="s">
        <v>3746</v>
      </c>
      <c r="U121" t="s">
        <v>3746</v>
      </c>
      <c r="V121" t="s">
        <v>3746</v>
      </c>
      <c r="W121" t="s">
        <v>3865</v>
      </c>
      <c r="X121">
        <v>4</v>
      </c>
      <c r="Y121" t="s">
        <v>5722</v>
      </c>
      <c r="Z121" t="s">
        <v>7509</v>
      </c>
      <c r="AA121">
        <v>0.86496193095111706</v>
      </c>
      <c r="AB121" t="str">
        <f>HYPERLINK("Melting_Curves/meltCurve_B7Z831_GPRC5B.pdf", "Melting_Curves/meltCurve_B7Z831_GPRC5B.pdf")</f>
        <v>Melting_Curves/meltCurve_B7Z831_GPRC5B.pdf</v>
      </c>
    </row>
    <row r="122" spans="1:28" x14ac:dyDescent="0.25">
      <c r="A122" t="s">
        <v>126</v>
      </c>
      <c r="B122">
        <v>1</v>
      </c>
      <c r="C122">
        <v>1.0647433125347501</v>
      </c>
      <c r="D122">
        <v>1.2742632977080399</v>
      </c>
      <c r="E122">
        <v>1.5134984864397401</v>
      </c>
      <c r="F122">
        <v>1.2048866374250899</v>
      </c>
      <c r="G122">
        <v>1.4114412800395399</v>
      </c>
      <c r="H122">
        <v>0.78278865756471205</v>
      </c>
      <c r="I122">
        <v>1.1852721319577399</v>
      </c>
      <c r="J122">
        <v>1.14412800395379</v>
      </c>
      <c r="K122">
        <v>1.0324643232223401</v>
      </c>
      <c r="L122">
        <v>10754.524390467501</v>
      </c>
      <c r="M122">
        <v>250</v>
      </c>
      <c r="O122">
        <v>43.015344914498101</v>
      </c>
      <c r="P122">
        <v>0.281284582610691</v>
      </c>
      <c r="Q122">
        <v>1.19359285220018</v>
      </c>
      <c r="R122">
        <v>0.10993571339930799</v>
      </c>
      <c r="S122" t="s">
        <v>1996</v>
      </c>
      <c r="T122" t="s">
        <v>3746</v>
      </c>
      <c r="U122" t="s">
        <v>3746</v>
      </c>
      <c r="V122" t="s">
        <v>3746</v>
      </c>
      <c r="W122" t="s">
        <v>3866</v>
      </c>
      <c r="X122">
        <v>2</v>
      </c>
      <c r="Y122" t="s">
        <v>5723</v>
      </c>
      <c r="Z122" t="s">
        <v>7510</v>
      </c>
      <c r="AA122">
        <v>1.174102166182972</v>
      </c>
      <c r="AB122" t="str">
        <f>HYPERLINK("Melting_Curves/meltCurve_B7Z8T3_FETUB.pdf", "Melting_Curves/meltCurve_B7Z8T3_FETUB.pdf")</f>
        <v>Melting_Curves/meltCurve_B7Z8T3_FETUB.pdf</v>
      </c>
    </row>
    <row r="123" spans="1:28" x14ac:dyDescent="0.25">
      <c r="A123" t="s">
        <v>127</v>
      </c>
      <c r="B123">
        <v>1</v>
      </c>
      <c r="C123">
        <v>1.0133084064767599</v>
      </c>
      <c r="D123">
        <v>1.23419626730885</v>
      </c>
      <c r="E123">
        <v>1.28806362685763</v>
      </c>
      <c r="F123">
        <v>0.91862860039925198</v>
      </c>
      <c r="G123">
        <v>1.5250483221901801</v>
      </c>
      <c r="H123">
        <v>0.55850945847460298</v>
      </c>
      <c r="I123">
        <v>1.20726258753446</v>
      </c>
      <c r="J123">
        <v>0.99375772362875903</v>
      </c>
      <c r="K123">
        <v>0.93193700687601</v>
      </c>
      <c r="L123">
        <v>6450.3315799526399</v>
      </c>
      <c r="M123">
        <v>90.027786626956498</v>
      </c>
      <c r="Q123">
        <v>0.368833150596245</v>
      </c>
      <c r="R123">
        <v>-6.5297560537931607E-2</v>
      </c>
      <c r="S123" t="s">
        <v>1997</v>
      </c>
      <c r="T123" t="s">
        <v>3746</v>
      </c>
      <c r="U123" t="s">
        <v>3746</v>
      </c>
      <c r="V123" t="s">
        <v>3746</v>
      </c>
      <c r="W123" t="s">
        <v>3867</v>
      </c>
      <c r="X123">
        <v>2</v>
      </c>
      <c r="Y123" t="s">
        <v>5724</v>
      </c>
      <c r="Z123" t="s">
        <v>7511</v>
      </c>
      <c r="AA123">
        <v>0.99822715212958779</v>
      </c>
      <c r="AB123" t="str">
        <f>HYPERLINK("Melting_Curves/meltCurve_B7Z9C4_CTPS1.pdf", "Melting_Curves/meltCurve_B7Z9C4_CTPS1.pdf")</f>
        <v>Melting_Curves/meltCurve_B7Z9C4_CTPS1.pdf</v>
      </c>
    </row>
    <row r="124" spans="1:28" x14ac:dyDescent="0.25">
      <c r="A124" t="s">
        <v>128</v>
      </c>
      <c r="B124">
        <v>1</v>
      </c>
      <c r="C124">
        <v>1.0356121931019699</v>
      </c>
      <c r="D124">
        <v>1.6470572520103699</v>
      </c>
      <c r="E124">
        <v>2.1210226817343898</v>
      </c>
      <c r="F124">
        <v>1.69843178114397</v>
      </c>
      <c r="G124">
        <v>2.1067831476583598</v>
      </c>
      <c r="H124">
        <v>1.6581710347038601</v>
      </c>
      <c r="I124">
        <v>2.6726510111939299</v>
      </c>
      <c r="J124">
        <v>2.82893858032112</v>
      </c>
      <c r="K124">
        <v>2.6054339985573498</v>
      </c>
      <c r="L124">
        <v>10835.167152701701</v>
      </c>
      <c r="M124">
        <v>250</v>
      </c>
      <c r="O124">
        <v>43.337896090265097</v>
      </c>
      <c r="P124">
        <v>0.72107793808448795</v>
      </c>
      <c r="Q124">
        <v>1.5</v>
      </c>
      <c r="R124">
        <v>-0.38547440289828</v>
      </c>
      <c r="S124" t="s">
        <v>1998</v>
      </c>
      <c r="T124" t="s">
        <v>3746</v>
      </c>
      <c r="U124" t="s">
        <v>3746</v>
      </c>
      <c r="V124" t="s">
        <v>3746</v>
      </c>
      <c r="W124" t="s">
        <v>3868</v>
      </c>
      <c r="X124">
        <v>10</v>
      </c>
      <c r="Y124" t="s">
        <v>5725</v>
      </c>
      <c r="Z124" t="s">
        <v>7512</v>
      </c>
      <c r="AA124">
        <v>1.4442841587183599</v>
      </c>
      <c r="AB124" t="str">
        <f>HYPERLINK("Melting_Curves/meltCurve_B7Z9L0_CCT4.pdf", "Melting_Curves/meltCurve_B7Z9L0_CCT4.pdf")</f>
        <v>Melting_Curves/meltCurve_B7Z9L0_CCT4.pdf</v>
      </c>
    </row>
    <row r="125" spans="1:28" x14ac:dyDescent="0.25">
      <c r="A125" t="s">
        <v>129</v>
      </c>
      <c r="B125">
        <v>1</v>
      </c>
      <c r="C125">
        <v>1.0826705874490401</v>
      </c>
      <c r="D125">
        <v>1.64759740693711</v>
      </c>
      <c r="E125">
        <v>2.0580097574015901</v>
      </c>
      <c r="F125">
        <v>1.4722315043774601</v>
      </c>
      <c r="G125">
        <v>2.0016707879435902</v>
      </c>
      <c r="H125">
        <v>0.83332219474704305</v>
      </c>
      <c r="I125">
        <v>1.7913520016039599</v>
      </c>
      <c r="J125">
        <v>1.1617991044576601</v>
      </c>
      <c r="K125">
        <v>1.12738087281962</v>
      </c>
      <c r="L125">
        <v>10794.4554787371</v>
      </c>
      <c r="M125">
        <v>250</v>
      </c>
      <c r="O125">
        <v>43.175050164637597</v>
      </c>
      <c r="P125">
        <v>0.723797508805062</v>
      </c>
      <c r="Q125">
        <v>1.5</v>
      </c>
      <c r="R125">
        <v>0.20660068601039999</v>
      </c>
      <c r="S125" t="s">
        <v>1999</v>
      </c>
      <c r="T125" t="s">
        <v>3746</v>
      </c>
      <c r="U125" t="s">
        <v>3746</v>
      </c>
      <c r="V125" t="s">
        <v>3746</v>
      </c>
      <c r="W125" t="s">
        <v>3869</v>
      </c>
      <c r="X125">
        <v>22</v>
      </c>
      <c r="Y125" t="s">
        <v>5726</v>
      </c>
      <c r="Z125" t="s">
        <v>7513</v>
      </c>
      <c r="AA125">
        <v>1.4469984132089879</v>
      </c>
      <c r="AB125" t="str">
        <f>HYPERLINK("Melting_Curves/meltCurve_B7ZKJ8_ITIH4.pdf", "Melting_Curves/meltCurve_B7ZKJ8_ITIH4.pdf")</f>
        <v>Melting_Curves/meltCurve_B7ZKJ8_ITIH4.pdf</v>
      </c>
    </row>
    <row r="126" spans="1:28" x14ac:dyDescent="0.25">
      <c r="A126" t="s">
        <v>130</v>
      </c>
      <c r="B126">
        <v>1</v>
      </c>
      <c r="C126">
        <v>0.88272730726851301</v>
      </c>
      <c r="D126">
        <v>1.35322390668338</v>
      </c>
      <c r="E126">
        <v>1.2683802576085701</v>
      </c>
      <c r="F126">
        <v>1.2264903681750801</v>
      </c>
      <c r="G126">
        <v>1.09230973821194</v>
      </c>
      <c r="H126">
        <v>0.57686462251605297</v>
      </c>
      <c r="I126">
        <v>1.24115657889737</v>
      </c>
      <c r="J126">
        <v>0.86616132831794501</v>
      </c>
      <c r="K126">
        <v>0.95579239332801402</v>
      </c>
      <c r="L126">
        <v>2549.7403554370399</v>
      </c>
      <c r="M126">
        <v>43.901964542607701</v>
      </c>
      <c r="O126">
        <v>57.957931923362999</v>
      </c>
      <c r="P126">
        <v>-1.4127005271107501E-2</v>
      </c>
      <c r="Q126">
        <v>0.92540007565849403</v>
      </c>
      <c r="R126">
        <v>-3.3286846196078901E-4</v>
      </c>
      <c r="S126" t="s">
        <v>2000</v>
      </c>
      <c r="T126" t="s">
        <v>3746</v>
      </c>
      <c r="U126" t="s">
        <v>3746</v>
      </c>
      <c r="V126" t="s">
        <v>3746</v>
      </c>
      <c r="W126" t="s">
        <v>3870</v>
      </c>
      <c r="X126">
        <v>1</v>
      </c>
      <c r="Y126" t="s">
        <v>5727</v>
      </c>
      <c r="Z126" t="s">
        <v>7514</v>
      </c>
      <c r="AA126">
        <v>0.97059955060098946</v>
      </c>
      <c r="AB126" t="str">
        <f>HYPERLINK("Melting_Curves/meltCurve_B7ZMG9_FAM150A.pdf", "Melting_Curves/meltCurve_B7ZMG9_FAM150A.pdf")</f>
        <v>Melting_Curves/meltCurve_B7ZMG9_FAM150A.pdf</v>
      </c>
    </row>
    <row r="127" spans="1:28" x14ac:dyDescent="0.25">
      <c r="A127" t="s">
        <v>131</v>
      </c>
      <c r="B127">
        <v>1</v>
      </c>
      <c r="C127">
        <v>0.78559008089513904</v>
      </c>
      <c r="D127">
        <v>1.1110229076888201</v>
      </c>
      <c r="E127">
        <v>1.4555832766311301</v>
      </c>
      <c r="F127">
        <v>1.0010206396008201</v>
      </c>
      <c r="G127">
        <v>1.2181522643078599</v>
      </c>
      <c r="H127">
        <v>0.77583730248733696</v>
      </c>
      <c r="I127">
        <v>1.43388523474711</v>
      </c>
      <c r="J127">
        <v>1.2132758751039501</v>
      </c>
      <c r="K127">
        <v>1.08236939593256</v>
      </c>
      <c r="L127">
        <v>11469.787218281999</v>
      </c>
      <c r="M127">
        <v>250</v>
      </c>
      <c r="O127">
        <v>45.876206632047499</v>
      </c>
      <c r="P127">
        <v>0.229679408590833</v>
      </c>
      <c r="Q127">
        <v>1.1685891430518101</v>
      </c>
      <c r="R127">
        <v>0.19526668840442499</v>
      </c>
      <c r="S127" t="s">
        <v>2001</v>
      </c>
      <c r="T127" t="s">
        <v>3746</v>
      </c>
      <c r="U127" t="s">
        <v>3746</v>
      </c>
      <c r="V127" t="s">
        <v>3746</v>
      </c>
      <c r="W127" t="s">
        <v>3871</v>
      </c>
      <c r="X127">
        <v>1</v>
      </c>
      <c r="Y127" t="s">
        <v>5728</v>
      </c>
      <c r="Z127" t="s">
        <v>7515</v>
      </c>
      <c r="AA127">
        <v>1.1355368797142209</v>
      </c>
      <c r="AB127" t="str">
        <f>HYPERLINK("Melting_Curves/meltCurve_B8ZZ77_PPIL3.pdf", "Melting_Curves/meltCurve_B8ZZ77_PPIL3.pdf")</f>
        <v>Melting_Curves/meltCurve_B8ZZ77_PPIL3.pdf</v>
      </c>
    </row>
    <row r="128" spans="1:28" x14ac:dyDescent="0.25">
      <c r="A128" t="s">
        <v>132</v>
      </c>
      <c r="B128">
        <v>1</v>
      </c>
      <c r="C128">
        <v>0.91771035455988703</v>
      </c>
      <c r="D128">
        <v>1.2860292820603301</v>
      </c>
      <c r="E128">
        <v>1.60204621626389</v>
      </c>
      <c r="F128">
        <v>0.93605574175339601</v>
      </c>
      <c r="G128">
        <v>0.84958546480860797</v>
      </c>
      <c r="H128">
        <v>0.66038101958017303</v>
      </c>
      <c r="I128">
        <v>0.88657611571705797</v>
      </c>
      <c r="J128">
        <v>0.83367436937731498</v>
      </c>
      <c r="K128">
        <v>0.72922032104427603</v>
      </c>
      <c r="L128">
        <v>3160.7800383848198</v>
      </c>
      <c r="M128">
        <v>56.491190974436201</v>
      </c>
      <c r="O128">
        <v>55.881747930774701</v>
      </c>
      <c r="P128">
        <v>-5.5821096475165498E-2</v>
      </c>
      <c r="Q128">
        <v>0.77912458504202198</v>
      </c>
      <c r="R128">
        <v>0.30361799683329299</v>
      </c>
      <c r="S128" t="s">
        <v>2002</v>
      </c>
      <c r="T128" t="s">
        <v>3746</v>
      </c>
      <c r="U128" t="s">
        <v>3746</v>
      </c>
      <c r="V128" t="s">
        <v>3746</v>
      </c>
      <c r="W128" t="s">
        <v>3872</v>
      </c>
      <c r="X128">
        <v>2</v>
      </c>
      <c r="Y128" t="s">
        <v>5729</v>
      </c>
      <c r="Z128" t="s">
        <v>7516</v>
      </c>
      <c r="AA128">
        <v>0.89699582997360638</v>
      </c>
      <c r="AB128" t="str">
        <f>HYPERLINK("Melting_Curves/meltCurve_B8ZZK4_RPL31.pdf", "Melting_Curves/meltCurve_B8ZZK4_RPL31.pdf")</f>
        <v>Melting_Curves/meltCurve_B8ZZK4_RPL31.pdf</v>
      </c>
    </row>
    <row r="129" spans="1:28" x14ac:dyDescent="0.25">
      <c r="A129" t="s">
        <v>133</v>
      </c>
      <c r="B129">
        <v>1</v>
      </c>
      <c r="C129">
        <v>1.01525491770373</v>
      </c>
      <c r="D129">
        <v>1.0453187028859401</v>
      </c>
      <c r="E129">
        <v>1.3982336411079901</v>
      </c>
      <c r="F129">
        <v>0.79298809045898599</v>
      </c>
      <c r="G129">
        <v>0.34548374146928901</v>
      </c>
      <c r="H129">
        <v>0.89357241625407002</v>
      </c>
      <c r="I129">
        <v>0.52339533431464402</v>
      </c>
      <c r="J129">
        <v>0.86730005798652898</v>
      </c>
      <c r="K129">
        <v>0.78156920469244795</v>
      </c>
      <c r="L129">
        <v>13216.836821347901</v>
      </c>
      <c r="M129">
        <v>250</v>
      </c>
      <c r="O129">
        <v>52.863962149262399</v>
      </c>
      <c r="P129">
        <v>-0.37565280677170398</v>
      </c>
      <c r="Q129">
        <v>0.68226405635028997</v>
      </c>
      <c r="R129">
        <v>0.48720297434865001</v>
      </c>
      <c r="S129" t="s">
        <v>2003</v>
      </c>
      <c r="T129" t="s">
        <v>3746</v>
      </c>
      <c r="U129" t="s">
        <v>3746</v>
      </c>
      <c r="V129" t="s">
        <v>3746</v>
      </c>
      <c r="W129" t="s">
        <v>3873</v>
      </c>
      <c r="X129">
        <v>1</v>
      </c>
      <c r="Y129" t="s">
        <v>5730</v>
      </c>
      <c r="Z129" t="s">
        <v>7517</v>
      </c>
      <c r="AA129">
        <v>0.81857416072672373</v>
      </c>
      <c r="AB129" t="str">
        <f>HYPERLINK("Melting_Curves/meltCurve_B8ZZQ6_PTMA.pdf", "Melting_Curves/meltCurve_B8ZZQ6_PTMA.pdf")</f>
        <v>Melting_Curves/meltCurve_B8ZZQ6_PTMA.pdf</v>
      </c>
    </row>
    <row r="130" spans="1:28" x14ac:dyDescent="0.25">
      <c r="A130" t="s">
        <v>134</v>
      </c>
      <c r="B130">
        <v>1</v>
      </c>
      <c r="C130">
        <v>0.98857704818821401</v>
      </c>
      <c r="D130">
        <v>1.19615704667524</v>
      </c>
      <c r="E130">
        <v>1.33073606172933</v>
      </c>
      <c r="F130">
        <v>0.90642257356834899</v>
      </c>
      <c r="G130">
        <v>1.0275361222482799</v>
      </c>
      <c r="H130">
        <v>0.64858158710946401</v>
      </c>
      <c r="I130">
        <v>0.99379680762538802</v>
      </c>
      <c r="J130">
        <v>0.89099024131931304</v>
      </c>
      <c r="K130">
        <v>0.85808306225886999</v>
      </c>
      <c r="L130">
        <v>5550.9388929275601</v>
      </c>
      <c r="M130">
        <v>95.056152077312404</v>
      </c>
      <c r="O130">
        <v>58.370587279831398</v>
      </c>
      <c r="P130">
        <v>-6.1485734584193499E-2</v>
      </c>
      <c r="Q130">
        <v>0.84897523895339699</v>
      </c>
      <c r="R130">
        <v>0.283718835722922</v>
      </c>
      <c r="S130" t="s">
        <v>2004</v>
      </c>
      <c r="T130" t="s">
        <v>3746</v>
      </c>
      <c r="U130" t="s">
        <v>3746</v>
      </c>
      <c r="V130" t="s">
        <v>3746</v>
      </c>
      <c r="W130" t="s">
        <v>3874</v>
      </c>
      <c r="X130">
        <v>1</v>
      </c>
      <c r="Y130" t="s">
        <v>5731</v>
      </c>
      <c r="Z130" t="s">
        <v>7518</v>
      </c>
      <c r="AA130">
        <v>0.94169293205823534</v>
      </c>
      <c r="AB130" t="str">
        <f>HYPERLINK("Melting_Curves/meltCurve_B8ZZT4_VAMP8.pdf", "Melting_Curves/meltCurve_B8ZZT4_VAMP8.pdf")</f>
        <v>Melting_Curves/meltCurve_B8ZZT4_VAMP8.pdf</v>
      </c>
    </row>
    <row r="131" spans="1:28" x14ac:dyDescent="0.25">
      <c r="A131" t="s">
        <v>135</v>
      </c>
      <c r="B131">
        <v>1</v>
      </c>
      <c r="C131">
        <v>1.1085764422022399</v>
      </c>
      <c r="D131">
        <v>1.7378811142794499</v>
      </c>
      <c r="E131">
        <v>2.3841485705929699</v>
      </c>
      <c r="F131">
        <v>2.1885647437303501</v>
      </c>
      <c r="G131">
        <v>2.5055202164217301</v>
      </c>
      <c r="H131">
        <v>1.2884404474665501</v>
      </c>
      <c r="I131">
        <v>2.1505447100972401</v>
      </c>
      <c r="J131">
        <v>2.19602251955838</v>
      </c>
      <c r="K131">
        <v>2.1195437595964002</v>
      </c>
      <c r="L131">
        <v>10780.012123091599</v>
      </c>
      <c r="M131">
        <v>250</v>
      </c>
      <c r="O131">
        <v>43.117289104518797</v>
      </c>
      <c r="P131">
        <v>0.72476727299759902</v>
      </c>
      <c r="Q131">
        <v>1.5</v>
      </c>
      <c r="R131">
        <v>-0.35082073786708901</v>
      </c>
      <c r="S131" t="s">
        <v>2005</v>
      </c>
      <c r="T131" t="s">
        <v>3746</v>
      </c>
      <c r="U131" t="s">
        <v>3746</v>
      </c>
      <c r="V131" t="s">
        <v>3746</v>
      </c>
      <c r="W131" t="s">
        <v>3875</v>
      </c>
      <c r="X131">
        <v>1</v>
      </c>
      <c r="Y131" t="s">
        <v>5732</v>
      </c>
      <c r="Z131" t="s">
        <v>7519</v>
      </c>
      <c r="AA131">
        <v>1.447961354278547</v>
      </c>
      <c r="AB131" t="str">
        <f>HYPERLINK("Melting_Curves/meltCurve_B8ZZU8_TCEB2.pdf", "Melting_Curves/meltCurve_B8ZZU8_TCEB2.pdf")</f>
        <v>Melting_Curves/meltCurve_B8ZZU8_TCEB2.pdf</v>
      </c>
    </row>
    <row r="132" spans="1:28" x14ac:dyDescent="0.25">
      <c r="A132" t="s">
        <v>136</v>
      </c>
      <c r="B132">
        <v>1</v>
      </c>
      <c r="C132">
        <v>0.99370769962706595</v>
      </c>
      <c r="D132">
        <v>1.5010205804263399</v>
      </c>
      <c r="E132">
        <v>1.4954802866833401</v>
      </c>
      <c r="F132">
        <v>1.1119569054159799</v>
      </c>
      <c r="G132">
        <v>1.4702803910434501</v>
      </c>
      <c r="H132">
        <v>0.63426387759173697</v>
      </c>
      <c r="I132">
        <v>1.1054650930800001</v>
      </c>
      <c r="J132">
        <v>1.0065071594100601</v>
      </c>
      <c r="K132">
        <v>1.0240488650838699</v>
      </c>
      <c r="L132">
        <v>11013.104512186999</v>
      </c>
      <c r="M132">
        <v>250</v>
      </c>
      <c r="O132">
        <v>44.049599913705201</v>
      </c>
      <c r="P132">
        <v>0.239257860112045</v>
      </c>
      <c r="Q132">
        <v>1.16862740447915</v>
      </c>
      <c r="R132">
        <v>6.7845652395575606E-2</v>
      </c>
      <c r="S132" t="s">
        <v>2006</v>
      </c>
      <c r="T132" t="s">
        <v>3746</v>
      </c>
      <c r="U132" t="s">
        <v>3746</v>
      </c>
      <c r="V132" t="s">
        <v>3746</v>
      </c>
      <c r="W132" t="s">
        <v>3876</v>
      </c>
      <c r="X132">
        <v>9</v>
      </c>
      <c r="Y132" t="s">
        <v>5733</v>
      </c>
      <c r="Z132" t="s">
        <v>7520</v>
      </c>
      <c r="AA132">
        <v>1.145836076426425</v>
      </c>
      <c r="AB132" t="str">
        <f>HYPERLINK("Melting_Curves/meltCurve_B9A064_IGLL5.pdf", "Melting_Curves/meltCurve_B9A064_IGLL5.pdf")</f>
        <v>Melting_Curves/meltCurve_B9A064_IGLL5.pdf</v>
      </c>
    </row>
    <row r="133" spans="1:28" x14ac:dyDescent="0.25">
      <c r="A133" t="s">
        <v>137</v>
      </c>
      <c r="B133">
        <v>1</v>
      </c>
      <c r="C133">
        <v>1.06458411525248</v>
      </c>
      <c r="D133">
        <v>1.1912405808817199</v>
      </c>
      <c r="E133">
        <v>1.33706729797615</v>
      </c>
      <c r="F133">
        <v>1.1352888529607099</v>
      </c>
      <c r="G133">
        <v>1.2884487686577899</v>
      </c>
      <c r="H133">
        <v>0.68259375811992995</v>
      </c>
      <c r="I133">
        <v>0.96278546063458104</v>
      </c>
      <c r="J133">
        <v>1.07552617143517</v>
      </c>
      <c r="K133">
        <v>0.95337356006582596</v>
      </c>
      <c r="L133">
        <v>10658.500552782099</v>
      </c>
      <c r="M133">
        <v>250</v>
      </c>
      <c r="O133">
        <v>42.631257210018802</v>
      </c>
      <c r="P133">
        <v>0.11477863864686901</v>
      </c>
      <c r="Q133">
        <v>1.0782905534413501</v>
      </c>
      <c r="R133">
        <v>1.7196695762718501E-2</v>
      </c>
      <c r="S133" t="s">
        <v>2007</v>
      </c>
      <c r="T133" t="s">
        <v>3746</v>
      </c>
      <c r="U133" t="s">
        <v>3746</v>
      </c>
      <c r="V133" t="s">
        <v>3746</v>
      </c>
      <c r="W133" t="s">
        <v>3877</v>
      </c>
      <c r="X133">
        <v>1</v>
      </c>
      <c r="Y133" t="s">
        <v>5734</v>
      </c>
      <c r="Z133" t="s">
        <v>7521</v>
      </c>
      <c r="AA133">
        <v>1.0714107791946961</v>
      </c>
      <c r="AB133" t="str">
        <f>HYPERLINK("Melting_Curves/meltCurve_C9IZ46_SHISA5.pdf", "Melting_Curves/meltCurve_C9IZ46_SHISA5.pdf")</f>
        <v>Melting_Curves/meltCurve_C9IZ46_SHISA5.pdf</v>
      </c>
    </row>
    <row r="134" spans="1:28" x14ac:dyDescent="0.25">
      <c r="A134" t="s">
        <v>138</v>
      </c>
      <c r="B134">
        <v>1</v>
      </c>
      <c r="C134">
        <v>1.0922479219371199</v>
      </c>
      <c r="D134">
        <v>1.2905674015178901</v>
      </c>
      <c r="E134">
        <v>1.75605348753162</v>
      </c>
      <c r="F134">
        <v>1.27123238164077</v>
      </c>
      <c r="G134">
        <v>1.5019877123238199</v>
      </c>
      <c r="H134">
        <v>1.32435851102277</v>
      </c>
      <c r="I134">
        <v>1.6478135164437999</v>
      </c>
      <c r="J134">
        <v>1.4606071557643701</v>
      </c>
      <c r="K134">
        <v>1.48491145645103</v>
      </c>
      <c r="L134">
        <v>2023.35372353763</v>
      </c>
      <c r="M134">
        <v>44.653628377477503</v>
      </c>
      <c r="O134">
        <v>45.221594109995699</v>
      </c>
      <c r="P134">
        <v>0.121078000011836</v>
      </c>
      <c r="Q134">
        <v>1.49047148360521</v>
      </c>
      <c r="R134">
        <v>0.63711509105790398</v>
      </c>
      <c r="S134" t="s">
        <v>2008</v>
      </c>
      <c r="T134" t="s">
        <v>3746</v>
      </c>
      <c r="U134" t="s">
        <v>3746</v>
      </c>
      <c r="V134" t="s">
        <v>3746</v>
      </c>
      <c r="W134" t="s">
        <v>3878</v>
      </c>
      <c r="X134">
        <v>4</v>
      </c>
      <c r="Y134" t="s">
        <v>5735</v>
      </c>
      <c r="Z134" t="s">
        <v>7522</v>
      </c>
      <c r="AA134">
        <v>1.402358296189717</v>
      </c>
      <c r="AB134" t="str">
        <f>HYPERLINK("Melting_Curves/meltCurve_C9IZE4_PSMD6.pdf", "Melting_Curves/meltCurve_C9IZE4_PSMD6.pdf")</f>
        <v>Melting_Curves/meltCurve_C9IZE4_PSMD6.pdf</v>
      </c>
    </row>
    <row r="135" spans="1:28" x14ac:dyDescent="0.25">
      <c r="A135" t="s">
        <v>139</v>
      </c>
      <c r="B135">
        <v>1</v>
      </c>
      <c r="C135">
        <v>0.92191950916660603</v>
      </c>
      <c r="D135">
        <v>1.10970710685852</v>
      </c>
      <c r="E135">
        <v>1.2145935285954299</v>
      </c>
      <c r="F135">
        <v>0.92476809582937702</v>
      </c>
      <c r="G135">
        <v>1.0654444525600799</v>
      </c>
      <c r="H135">
        <v>0.52078737856986301</v>
      </c>
      <c r="I135">
        <v>0.85632897523920803</v>
      </c>
      <c r="J135">
        <v>0.87707252939887503</v>
      </c>
      <c r="K135">
        <v>0.77934409466072596</v>
      </c>
      <c r="L135">
        <v>7763.2814887746099</v>
      </c>
      <c r="M135">
        <v>132.34895106245</v>
      </c>
      <c r="O135">
        <v>58.644283039585702</v>
      </c>
      <c r="P135">
        <v>-0.13611687781884901</v>
      </c>
      <c r="Q135">
        <v>0.75874454599276797</v>
      </c>
      <c r="R135">
        <v>0.53393998265836196</v>
      </c>
      <c r="S135" t="s">
        <v>2009</v>
      </c>
      <c r="T135" t="s">
        <v>3746</v>
      </c>
      <c r="U135" t="s">
        <v>3746</v>
      </c>
      <c r="V135" t="s">
        <v>3746</v>
      </c>
      <c r="W135" t="s">
        <v>3879</v>
      </c>
      <c r="X135">
        <v>2</v>
      </c>
      <c r="Y135" t="s">
        <v>5736</v>
      </c>
      <c r="Z135" t="s">
        <v>7523</v>
      </c>
      <c r="AA135">
        <v>0.90887539157207375</v>
      </c>
      <c r="AB135" t="str">
        <f>HYPERLINK("Melting_Curves/meltCurve_C9IZG4_CUTA.pdf", "Melting_Curves/meltCurve_C9IZG4_CUTA.pdf")</f>
        <v>Melting_Curves/meltCurve_C9IZG4_CUTA.pdf</v>
      </c>
    </row>
    <row r="136" spans="1:28" x14ac:dyDescent="0.25">
      <c r="A136" t="s">
        <v>140</v>
      </c>
      <c r="B136">
        <v>1</v>
      </c>
      <c r="C136">
        <v>1.08270362987344</v>
      </c>
      <c r="D136">
        <v>1.2083816234759599</v>
      </c>
      <c r="E136">
        <v>1.47128088637523</v>
      </c>
      <c r="F136">
        <v>1.5929720458022301</v>
      </c>
      <c r="G136">
        <v>1.5692364748968499</v>
      </c>
      <c r="H136">
        <v>0.64623800472857096</v>
      </c>
      <c r="I136">
        <v>1.20847434054981</v>
      </c>
      <c r="J136">
        <v>1.2061564137035801</v>
      </c>
      <c r="K136">
        <v>1.2545083677159199</v>
      </c>
      <c r="L136">
        <v>1838.8288811063801</v>
      </c>
      <c r="M136">
        <v>41.831225235358097</v>
      </c>
      <c r="O136">
        <v>43.858200112008497</v>
      </c>
      <c r="P136">
        <v>6.5619185342568595E-2</v>
      </c>
      <c r="Q136">
        <v>1.2751947216670301</v>
      </c>
      <c r="R136">
        <v>0.123511628024595</v>
      </c>
      <c r="S136" t="s">
        <v>2010</v>
      </c>
      <c r="T136" t="s">
        <v>3746</v>
      </c>
      <c r="U136" t="s">
        <v>3746</v>
      </c>
      <c r="V136" t="s">
        <v>3746</v>
      </c>
      <c r="W136" t="s">
        <v>3880</v>
      </c>
      <c r="X136">
        <v>1</v>
      </c>
      <c r="Y136" t="s">
        <v>5737</v>
      </c>
      <c r="Z136" t="s">
        <v>7524</v>
      </c>
      <c r="AA136">
        <v>1.2379995731587019</v>
      </c>
      <c r="AB136" t="str">
        <f>HYPERLINK("Melting_Curves/meltCurve_C9J0E4_CSTA.pdf", "Melting_Curves/meltCurve_C9J0E4_CSTA.pdf")</f>
        <v>Melting_Curves/meltCurve_C9J0E4_CSTA.pdf</v>
      </c>
    </row>
    <row r="137" spans="1:28" x14ac:dyDescent="0.25">
      <c r="A137" t="s">
        <v>141</v>
      </c>
      <c r="B137">
        <v>1</v>
      </c>
      <c r="C137">
        <v>0.798350137488543</v>
      </c>
      <c r="D137">
        <v>1.1215791541181099</v>
      </c>
      <c r="E137">
        <v>1.28767840775173</v>
      </c>
      <c r="F137">
        <v>1.1822705250752901</v>
      </c>
      <c r="G137">
        <v>1.5346994893282699</v>
      </c>
      <c r="H137">
        <v>1.21886866570643</v>
      </c>
      <c r="I137">
        <v>2.3074505695953902</v>
      </c>
      <c r="J137">
        <v>2.11915673693859</v>
      </c>
      <c r="K137">
        <v>1.8124263454236</v>
      </c>
      <c r="L137">
        <v>1169.0142057763801</v>
      </c>
      <c r="M137">
        <v>22.936674076350101</v>
      </c>
      <c r="O137">
        <v>50.584346774872998</v>
      </c>
      <c r="P137">
        <v>5.66803389607674E-2</v>
      </c>
      <c r="Q137">
        <v>1.5</v>
      </c>
      <c r="R137">
        <v>0.40625990456601602</v>
      </c>
      <c r="S137" t="s">
        <v>2011</v>
      </c>
      <c r="T137" t="s">
        <v>3746</v>
      </c>
      <c r="U137" t="s">
        <v>3746</v>
      </c>
      <c r="V137" t="s">
        <v>3746</v>
      </c>
      <c r="W137" t="s">
        <v>3881</v>
      </c>
      <c r="X137">
        <v>2</v>
      </c>
      <c r="Y137" t="s">
        <v>5738</v>
      </c>
      <c r="Z137" t="s">
        <v>7525</v>
      </c>
      <c r="AA137">
        <v>1.311872493323585</v>
      </c>
      <c r="AB137" t="str">
        <f>HYPERLINK("Melting_Curves/meltCurve_C9J0T6_RAB17.pdf", "Melting_Curves/meltCurve_C9J0T6_RAB17.pdf")</f>
        <v>Melting_Curves/meltCurve_C9J0T6_RAB17.pdf</v>
      </c>
    </row>
    <row r="138" spans="1:28" x14ac:dyDescent="0.25">
      <c r="A138" t="s">
        <v>142</v>
      </c>
      <c r="B138">
        <v>1</v>
      </c>
      <c r="C138">
        <v>1.0909244169710599</v>
      </c>
      <c r="D138">
        <v>1.3479629109300399</v>
      </c>
      <c r="E138">
        <v>1.64445068839562</v>
      </c>
      <c r="F138">
        <v>1.3248103399831399</v>
      </c>
      <c r="G138">
        <v>1.5653273391402101</v>
      </c>
      <c r="H138">
        <v>0.95751615622365804</v>
      </c>
      <c r="I138">
        <v>1.39651587524586</v>
      </c>
      <c r="J138">
        <v>1.3212700196684499</v>
      </c>
      <c r="K138">
        <v>1.2701882551278401</v>
      </c>
      <c r="L138">
        <v>3445.74880628966</v>
      </c>
      <c r="M138">
        <v>79.256927513228007</v>
      </c>
      <c r="O138">
        <v>43.448022128035198</v>
      </c>
      <c r="P138">
        <v>0.161473599482061</v>
      </c>
      <c r="Q138">
        <v>1.3540741868295201</v>
      </c>
      <c r="R138">
        <v>0.34435918838955398</v>
      </c>
      <c r="S138" t="s">
        <v>2012</v>
      </c>
      <c r="T138" t="s">
        <v>3746</v>
      </c>
      <c r="U138" t="s">
        <v>3746</v>
      </c>
      <c r="V138" t="s">
        <v>3746</v>
      </c>
      <c r="W138" t="s">
        <v>3882</v>
      </c>
      <c r="X138">
        <v>3</v>
      </c>
      <c r="Y138" t="s">
        <v>5739</v>
      </c>
      <c r="Z138" t="s">
        <v>7526</v>
      </c>
      <c r="AA138">
        <v>1.3127777730233621</v>
      </c>
      <c r="AB138" t="str">
        <f>HYPERLINK("Melting_Curves/meltCurve_C9J1D9_IL1RAP.pdf", "Melting_Curves/meltCurve_C9J1D9_IL1RAP.pdf")</f>
        <v>Melting_Curves/meltCurve_C9J1D9_IL1RAP.pdf</v>
      </c>
    </row>
    <row r="139" spans="1:28" x14ac:dyDescent="0.25">
      <c r="A139" t="s">
        <v>143</v>
      </c>
      <c r="B139">
        <v>1</v>
      </c>
      <c r="C139">
        <v>0.95597198217047197</v>
      </c>
      <c r="D139">
        <v>1.5996543254798501</v>
      </c>
      <c r="E139">
        <v>1.86564177203675</v>
      </c>
      <c r="F139">
        <v>1.25115982898208</v>
      </c>
      <c r="G139">
        <v>1.48858364413718</v>
      </c>
      <c r="H139">
        <v>1.0284726644228099</v>
      </c>
      <c r="I139">
        <v>1.9286818884744801</v>
      </c>
      <c r="J139">
        <v>2.0217411079778</v>
      </c>
      <c r="K139">
        <v>1.9195851905758201</v>
      </c>
      <c r="L139">
        <v>11082.4201536622</v>
      </c>
      <c r="M139">
        <v>250</v>
      </c>
      <c r="O139">
        <v>44.326851713105</v>
      </c>
      <c r="P139">
        <v>0.70499041519183003</v>
      </c>
      <c r="Q139">
        <v>1.5</v>
      </c>
      <c r="R139">
        <v>0.33858462020025298</v>
      </c>
      <c r="S139" t="s">
        <v>2013</v>
      </c>
      <c r="T139" t="s">
        <v>3746</v>
      </c>
      <c r="U139" t="s">
        <v>3746</v>
      </c>
      <c r="V139" t="s">
        <v>3746</v>
      </c>
      <c r="W139" t="s">
        <v>3883</v>
      </c>
      <c r="X139">
        <v>3</v>
      </c>
      <c r="Y139" t="s">
        <v>5740</v>
      </c>
      <c r="Z139" t="s">
        <v>7527</v>
      </c>
      <c r="AA139">
        <v>1.4277997574727379</v>
      </c>
      <c r="AB139" t="str">
        <f>HYPERLINK("Melting_Curves/meltCurve_C9J2Z4_EHD1.pdf", "Melting_Curves/meltCurve_C9J2Z4_EHD1.pdf")</f>
        <v>Melting_Curves/meltCurve_C9J2Z4_EHD1.pdf</v>
      </c>
    </row>
    <row r="140" spans="1:28" x14ac:dyDescent="0.25">
      <c r="A140" t="s">
        <v>144</v>
      </c>
      <c r="B140">
        <v>1</v>
      </c>
      <c r="C140">
        <v>1.5153497866994701</v>
      </c>
      <c r="D140">
        <v>1.86251930173519</v>
      </c>
      <c r="E140">
        <v>1.8143631081682301</v>
      </c>
      <c r="F140">
        <v>2.0873354445287799</v>
      </c>
      <c r="G140">
        <v>2.0660053913999299</v>
      </c>
      <c r="H140">
        <v>0.87837943939909402</v>
      </c>
      <c r="I140">
        <v>2.6567039179251002</v>
      </c>
      <c r="J140">
        <v>1.31251799314298</v>
      </c>
      <c r="K140">
        <v>1.5082833887303999</v>
      </c>
      <c r="L140">
        <v>10278.931369354201</v>
      </c>
      <c r="M140">
        <v>250</v>
      </c>
      <c r="O140">
        <v>41.113094354292699</v>
      </c>
      <c r="P140">
        <v>0.76009846827345895</v>
      </c>
      <c r="Q140">
        <v>1.5</v>
      </c>
      <c r="R140">
        <v>-1.5098624166715899E-2</v>
      </c>
      <c r="S140" t="s">
        <v>2014</v>
      </c>
      <c r="T140" t="s">
        <v>3746</v>
      </c>
      <c r="U140" t="s">
        <v>3746</v>
      </c>
      <c r="V140" t="s">
        <v>3746</v>
      </c>
      <c r="W140" t="s">
        <v>3884</v>
      </c>
      <c r="X140">
        <v>1</v>
      </c>
      <c r="Y140" t="s">
        <v>5741</v>
      </c>
      <c r="Z140" t="s">
        <v>7528</v>
      </c>
      <c r="AA140">
        <v>1.481366086721339</v>
      </c>
      <c r="AB140" t="str">
        <f>HYPERLINK("Melting_Curves/meltCurve_C9J4Z0_SLC22A23.pdf", "Melting_Curves/meltCurve_C9J4Z0_SLC22A23.pdf")</f>
        <v>Melting_Curves/meltCurve_C9J4Z0_SLC22A23.pdf</v>
      </c>
    </row>
    <row r="141" spans="1:28" x14ac:dyDescent="0.25">
      <c r="A141" t="s">
        <v>145</v>
      </c>
      <c r="B141">
        <v>1</v>
      </c>
      <c r="C141">
        <v>1.05279892089797</v>
      </c>
      <c r="D141">
        <v>1.6155699007611499</v>
      </c>
      <c r="E141">
        <v>1.8871760285191299</v>
      </c>
      <c r="F141">
        <v>1.53916562289238</v>
      </c>
      <c r="G141">
        <v>1.7346565179689799</v>
      </c>
      <c r="H141">
        <v>1.1503998458425699</v>
      </c>
      <c r="I141">
        <v>1.7754118893920401</v>
      </c>
      <c r="J141">
        <v>1.9370844975431201</v>
      </c>
      <c r="K141">
        <v>1.7083534059157901</v>
      </c>
      <c r="L141">
        <v>10816.6562417983</v>
      </c>
      <c r="M141">
        <v>250</v>
      </c>
      <c r="O141">
        <v>43.263855197770297</v>
      </c>
      <c r="P141">
        <v>0.72231194323042602</v>
      </c>
      <c r="Q141">
        <v>1.5</v>
      </c>
      <c r="R141">
        <v>0.39945643146535398</v>
      </c>
      <c r="S141" t="s">
        <v>2015</v>
      </c>
      <c r="T141" t="s">
        <v>3746</v>
      </c>
      <c r="U141" t="s">
        <v>3746</v>
      </c>
      <c r="V141" t="s">
        <v>3746</v>
      </c>
      <c r="W141" t="s">
        <v>3885</v>
      </c>
      <c r="X141">
        <v>3</v>
      </c>
      <c r="Y141" t="s">
        <v>5742</v>
      </c>
      <c r="Z141" t="s">
        <v>7529</v>
      </c>
      <c r="AA141">
        <v>1.4455182844167349</v>
      </c>
      <c r="AB141" t="str">
        <f>HYPERLINK("Melting_Curves/meltCurve_C9J5C3_PDCD10.pdf", "Melting_Curves/meltCurve_C9J5C3_PDCD10.pdf")</f>
        <v>Melting_Curves/meltCurve_C9J5C3_PDCD10.pdf</v>
      </c>
    </row>
    <row r="142" spans="1:28" x14ac:dyDescent="0.25">
      <c r="A142" t="s">
        <v>146</v>
      </c>
      <c r="B142">
        <v>1</v>
      </c>
      <c r="C142">
        <v>0.93204482791731202</v>
      </c>
      <c r="D142">
        <v>1.1454849727712899</v>
      </c>
      <c r="E142">
        <v>1.29313726835023</v>
      </c>
      <c r="F142">
        <v>0.91299159133619601</v>
      </c>
      <c r="G142">
        <v>0.96359446372477697</v>
      </c>
      <c r="H142">
        <v>0.542832059916874</v>
      </c>
      <c r="I142">
        <v>0.79122371435234096</v>
      </c>
      <c r="J142">
        <v>0.82775270572420101</v>
      </c>
      <c r="K142">
        <v>0.752472531240998</v>
      </c>
      <c r="L142">
        <v>14356.301981073</v>
      </c>
      <c r="M142">
        <v>250</v>
      </c>
      <c r="O142">
        <v>57.421533096098401</v>
      </c>
      <c r="P142">
        <v>-0.29543548454712099</v>
      </c>
      <c r="Q142">
        <v>0.72857026507915401</v>
      </c>
      <c r="R142">
        <v>0.57313062886258204</v>
      </c>
      <c r="S142" t="s">
        <v>2016</v>
      </c>
      <c r="T142" t="s">
        <v>3746</v>
      </c>
      <c r="U142" t="s">
        <v>3746</v>
      </c>
      <c r="V142" t="s">
        <v>3746</v>
      </c>
      <c r="W142" t="s">
        <v>3886</v>
      </c>
      <c r="X142">
        <v>2</v>
      </c>
      <c r="Y142" t="s">
        <v>5743</v>
      </c>
      <c r="Z142" t="s">
        <v>7530</v>
      </c>
      <c r="AA142">
        <v>0.88625493878950889</v>
      </c>
      <c r="AB142" t="str">
        <f>HYPERLINK("Melting_Curves/meltCurve_C9J686_IL1R1.pdf", "Melting_Curves/meltCurve_C9J686_IL1R1.pdf")</f>
        <v>Melting_Curves/meltCurve_C9J686_IL1R1.pdf</v>
      </c>
    </row>
    <row r="143" spans="1:28" x14ac:dyDescent="0.25">
      <c r="A143" t="s">
        <v>147</v>
      </c>
      <c r="B143">
        <v>1</v>
      </c>
      <c r="C143">
        <v>0.85731930980274695</v>
      </c>
      <c r="D143">
        <v>1.2777133161158301</v>
      </c>
      <c r="E143">
        <v>1.60409726640965</v>
      </c>
      <c r="F143">
        <v>1.27983431273471</v>
      </c>
      <c r="G143">
        <v>1.3536949008746</v>
      </c>
      <c r="H143">
        <v>1.03421042781749</v>
      </c>
      <c r="I143">
        <v>1.44402440393757</v>
      </c>
      <c r="J143">
        <v>1.0481715761500201</v>
      </c>
      <c r="K143">
        <v>1.2231662736584701</v>
      </c>
      <c r="L143">
        <v>11324.952365543701</v>
      </c>
      <c r="M143">
        <v>250</v>
      </c>
      <c r="O143">
        <v>45.29693400499</v>
      </c>
      <c r="P143">
        <v>0.391702243118772</v>
      </c>
      <c r="Q143">
        <v>1.2838864245095301</v>
      </c>
      <c r="R143">
        <v>0.40970139041518799</v>
      </c>
      <c r="S143" t="s">
        <v>2017</v>
      </c>
      <c r="T143" t="s">
        <v>3746</v>
      </c>
      <c r="U143" t="s">
        <v>3746</v>
      </c>
      <c r="V143" t="s">
        <v>3746</v>
      </c>
      <c r="W143" t="s">
        <v>3887</v>
      </c>
      <c r="X143">
        <v>1</v>
      </c>
      <c r="Y143" t="s">
        <v>5744</v>
      </c>
      <c r="Z143" t="s">
        <v>7531</v>
      </c>
      <c r="AA143">
        <v>1.233712390114742</v>
      </c>
      <c r="AB143" t="str">
        <f>HYPERLINK("Melting_Curves/meltCurve_C9J6H2_IGFBP1.pdf", "Melting_Curves/meltCurve_C9J6H2_IGFBP1.pdf")</f>
        <v>Melting_Curves/meltCurve_C9J6H2_IGFBP1.pdf</v>
      </c>
    </row>
    <row r="144" spans="1:28" x14ac:dyDescent="0.25">
      <c r="A144" t="s">
        <v>148</v>
      </c>
      <c r="B144">
        <v>1</v>
      </c>
      <c r="C144">
        <v>1.1288048000700699</v>
      </c>
      <c r="D144">
        <v>1.3813340340734901</v>
      </c>
      <c r="E144">
        <v>1.68116322866027</v>
      </c>
      <c r="F144">
        <v>0.94179477072658002</v>
      </c>
      <c r="G144">
        <v>1.02360618403188</v>
      </c>
      <c r="H144">
        <v>0.83199754740945098</v>
      </c>
      <c r="I144">
        <v>1.00192703543117</v>
      </c>
      <c r="J144">
        <v>1.05711032277843</v>
      </c>
      <c r="K144">
        <v>1.0281171987912201</v>
      </c>
      <c r="L144">
        <v>15000</v>
      </c>
      <c r="M144">
        <v>231.41122285233999</v>
      </c>
      <c r="O144">
        <v>64.814850447621097</v>
      </c>
      <c r="P144">
        <v>3.8039512748180501E-2</v>
      </c>
      <c r="Q144">
        <v>1.0426172011149399</v>
      </c>
      <c r="R144">
        <v>-0.20515625508302299</v>
      </c>
      <c r="S144" t="s">
        <v>2018</v>
      </c>
      <c r="T144" t="s">
        <v>3746</v>
      </c>
      <c r="U144" t="s">
        <v>3746</v>
      </c>
      <c r="V144" t="s">
        <v>3746</v>
      </c>
      <c r="W144" t="s">
        <v>3888</v>
      </c>
      <c r="X144">
        <v>4</v>
      </c>
      <c r="Y144" t="s">
        <v>5745</v>
      </c>
      <c r="Z144" t="s">
        <v>7532</v>
      </c>
      <c r="AA144">
        <v>1.00735337495592</v>
      </c>
      <c r="AB144" t="str">
        <f>HYPERLINK("Melting_Curves/meltCurve_C9J6N5_FAM107B.pdf", "Melting_Curves/meltCurve_C9J6N5_FAM107B.pdf")</f>
        <v>Melting_Curves/meltCurve_C9J6N5_FAM107B.pdf</v>
      </c>
    </row>
    <row r="145" spans="1:28" x14ac:dyDescent="0.25">
      <c r="A145" t="s">
        <v>149</v>
      </c>
      <c r="B145">
        <v>1</v>
      </c>
      <c r="C145">
        <v>1.09707995719309</v>
      </c>
      <c r="D145">
        <v>1.32981705141925</v>
      </c>
      <c r="E145">
        <v>1.73250777149264</v>
      </c>
      <c r="F145">
        <v>1.08693879631045</v>
      </c>
      <c r="G145">
        <v>1.1036538755542</v>
      </c>
      <c r="H145">
        <v>0.77429546960199802</v>
      </c>
      <c r="I145">
        <v>1.09514345410997</v>
      </c>
      <c r="J145">
        <v>1.1499261071192</v>
      </c>
      <c r="K145">
        <v>0.94542118942057796</v>
      </c>
      <c r="L145">
        <v>10700.727738755</v>
      </c>
      <c r="M145">
        <v>250</v>
      </c>
      <c r="O145">
        <v>42.800176257971401</v>
      </c>
      <c r="P145">
        <v>0.222272709831452</v>
      </c>
      <c r="Q145">
        <v>1.15221296270964</v>
      </c>
      <c r="R145">
        <v>3.7409427843932197E-2</v>
      </c>
      <c r="S145" t="s">
        <v>2019</v>
      </c>
      <c r="T145" t="s">
        <v>3746</v>
      </c>
      <c r="U145" t="s">
        <v>3746</v>
      </c>
      <c r="V145" t="s">
        <v>3746</v>
      </c>
      <c r="W145" t="s">
        <v>3889</v>
      </c>
      <c r="X145">
        <v>6</v>
      </c>
      <c r="Y145" t="s">
        <v>5746</v>
      </c>
      <c r="Z145" t="s">
        <v>7533</v>
      </c>
      <c r="AA145">
        <v>1.137980216001212</v>
      </c>
      <c r="AB145" t="str">
        <f>HYPERLINK("Melting_Curves/meltCurve_C9J815_APOBR.pdf", "Melting_Curves/meltCurve_C9J815_APOBR.pdf")</f>
        <v>Melting_Curves/meltCurve_C9J815_APOBR.pdf</v>
      </c>
    </row>
    <row r="146" spans="1:28" x14ac:dyDescent="0.25">
      <c r="A146" t="s">
        <v>150</v>
      </c>
      <c r="B146">
        <v>1</v>
      </c>
      <c r="C146">
        <v>1.19586645468998</v>
      </c>
      <c r="D146">
        <v>1.81414944356121</v>
      </c>
      <c r="E146">
        <v>1.7655007949125601</v>
      </c>
      <c r="F146">
        <v>1.7854266030736601</v>
      </c>
      <c r="G146">
        <v>1.78648648648649</v>
      </c>
      <c r="H146">
        <v>1.2591944886062501</v>
      </c>
      <c r="I146">
        <v>2.0466348701642798</v>
      </c>
      <c r="J146">
        <v>2.24928457869634</v>
      </c>
      <c r="K146">
        <v>1.9389507154212999</v>
      </c>
      <c r="L146">
        <v>10743.8774189618</v>
      </c>
      <c r="M146">
        <v>250</v>
      </c>
      <c r="O146">
        <v>42.972759455537997</v>
      </c>
      <c r="P146">
        <v>0.72720487070567597</v>
      </c>
      <c r="Q146">
        <v>1.5</v>
      </c>
      <c r="R146">
        <v>2.34069496073797E-3</v>
      </c>
      <c r="S146" t="s">
        <v>2020</v>
      </c>
      <c r="T146" t="s">
        <v>3746</v>
      </c>
      <c r="U146" t="s">
        <v>3746</v>
      </c>
      <c r="V146" t="s">
        <v>3746</v>
      </c>
      <c r="W146" t="s">
        <v>3890</v>
      </c>
      <c r="X146">
        <v>2</v>
      </c>
      <c r="Y146" t="s">
        <v>5747</v>
      </c>
      <c r="Z146" t="s">
        <v>7534</v>
      </c>
      <c r="AA146">
        <v>1.45037046137324</v>
      </c>
      <c r="AB146" t="str">
        <f>HYPERLINK("Melting_Curves/meltCurve_C9J8H1_ATP6V1E1.pdf", "Melting_Curves/meltCurve_C9J8H1_ATP6V1E1.pdf")</f>
        <v>Melting_Curves/meltCurve_C9J8H1_ATP6V1E1.pdf</v>
      </c>
    </row>
    <row r="147" spans="1:28" x14ac:dyDescent="0.25">
      <c r="A147" t="s">
        <v>151</v>
      </c>
      <c r="B147">
        <v>1</v>
      </c>
      <c r="C147">
        <v>0.85337150127226502</v>
      </c>
      <c r="D147">
        <v>1.17837150127226</v>
      </c>
      <c r="E147">
        <v>1.1191475826971999</v>
      </c>
      <c r="F147">
        <v>1.1685750636132299</v>
      </c>
      <c r="G147">
        <v>1.2157760814249401</v>
      </c>
      <c r="H147">
        <v>0.52812340966921101</v>
      </c>
      <c r="I147">
        <v>1.0995547073791301</v>
      </c>
      <c r="J147">
        <v>0.89681933842239203</v>
      </c>
      <c r="K147">
        <v>0.74847328244274802</v>
      </c>
      <c r="L147">
        <v>923.668980596805</v>
      </c>
      <c r="M147">
        <v>11.9598132304726</v>
      </c>
      <c r="Q147">
        <v>0</v>
      </c>
      <c r="R147">
        <v>0.16745988030211101</v>
      </c>
      <c r="S147" t="s">
        <v>2021</v>
      </c>
      <c r="T147" t="s">
        <v>3746</v>
      </c>
      <c r="U147" t="s">
        <v>3746</v>
      </c>
      <c r="V147" t="s">
        <v>3746</v>
      </c>
      <c r="W147" t="s">
        <v>3891</v>
      </c>
      <c r="X147">
        <v>2</v>
      </c>
      <c r="Y147" t="s">
        <v>5748</v>
      </c>
      <c r="Z147" t="s">
        <v>7535</v>
      </c>
      <c r="AA147">
        <v>0.96083939684827557</v>
      </c>
      <c r="AB147" t="str">
        <f>HYPERLINK("Melting_Curves/meltCurve_C9J8S2_RARRES2.pdf", "Melting_Curves/meltCurve_C9J8S2_RARRES2.pdf")</f>
        <v>Melting_Curves/meltCurve_C9J8S2_RARRES2.pdf</v>
      </c>
    </row>
    <row r="148" spans="1:28" x14ac:dyDescent="0.25">
      <c r="A148" t="s">
        <v>152</v>
      </c>
      <c r="B148">
        <v>1</v>
      </c>
      <c r="C148">
        <v>1.0253656650701299</v>
      </c>
      <c r="D148">
        <v>1.49436199231083</v>
      </c>
      <c r="E148">
        <v>2.0330763117764601</v>
      </c>
      <c r="F148">
        <v>1.7780021048562</v>
      </c>
      <c r="G148">
        <v>2.4901737580274501</v>
      </c>
      <c r="H148">
        <v>1.80053265748835</v>
      </c>
      <c r="I148">
        <v>3.1663051182370801</v>
      </c>
      <c r="J148">
        <v>2.94658390429348</v>
      </c>
      <c r="K148">
        <v>2.8795721557593601</v>
      </c>
      <c r="L148">
        <v>4748.55908754558</v>
      </c>
      <c r="M148">
        <v>107.758434471066</v>
      </c>
      <c r="O148">
        <v>44.051536649545902</v>
      </c>
      <c r="P148">
        <v>0.30577380227874801</v>
      </c>
      <c r="Q148">
        <v>1.5</v>
      </c>
      <c r="R148">
        <v>-0.48412411722477</v>
      </c>
      <c r="S148" t="s">
        <v>2022</v>
      </c>
      <c r="T148" t="s">
        <v>3746</v>
      </c>
      <c r="U148" t="s">
        <v>3746</v>
      </c>
      <c r="V148" t="s">
        <v>3746</v>
      </c>
      <c r="W148" t="s">
        <v>3892</v>
      </c>
      <c r="X148">
        <v>2</v>
      </c>
      <c r="Y148" t="s">
        <v>5749</v>
      </c>
      <c r="Z148" t="s">
        <v>7536</v>
      </c>
      <c r="AA148">
        <v>1.432013164846117</v>
      </c>
      <c r="AB148" t="str">
        <f>HYPERLINK("Melting_Curves/meltCurve_C9J8U2_NAPRT1.pdf", "Melting_Curves/meltCurve_C9J8U2_NAPRT1.pdf")</f>
        <v>Melting_Curves/meltCurve_C9J8U2_NAPRT1.pdf</v>
      </c>
    </row>
    <row r="149" spans="1:28" x14ac:dyDescent="0.25">
      <c r="A149" t="s">
        <v>153</v>
      </c>
      <c r="B149">
        <v>1</v>
      </c>
      <c r="C149">
        <v>1.2110658037484601</v>
      </c>
      <c r="D149">
        <v>1.6223361141246699</v>
      </c>
      <c r="E149">
        <v>2.0602795755240502</v>
      </c>
      <c r="F149">
        <v>1.4870375219782299</v>
      </c>
      <c r="G149">
        <v>1.62545359320639</v>
      </c>
      <c r="H149">
        <v>1.2231242128365301</v>
      </c>
      <c r="I149">
        <v>1.6490217350641601</v>
      </c>
      <c r="J149">
        <v>1.8585163293554301</v>
      </c>
      <c r="K149">
        <v>1.55898893918422</v>
      </c>
      <c r="L149">
        <v>10738.4718341847</v>
      </c>
      <c r="M149">
        <v>250</v>
      </c>
      <c r="O149">
        <v>42.951138523908597</v>
      </c>
      <c r="P149">
        <v>0.72757093467080802</v>
      </c>
      <c r="Q149">
        <v>1.5</v>
      </c>
      <c r="R149">
        <v>0.360653174062735</v>
      </c>
      <c r="S149" t="s">
        <v>2023</v>
      </c>
      <c r="T149" t="s">
        <v>3746</v>
      </c>
      <c r="U149" t="s">
        <v>3746</v>
      </c>
      <c r="V149" t="s">
        <v>3746</v>
      </c>
      <c r="W149" t="s">
        <v>3893</v>
      </c>
      <c r="X149">
        <v>1</v>
      </c>
      <c r="Y149" t="s">
        <v>5750</v>
      </c>
      <c r="Z149" t="s">
        <v>7537</v>
      </c>
      <c r="AA149">
        <v>1.450730852662147</v>
      </c>
      <c r="AB149" t="str">
        <f>HYPERLINK("Melting_Curves/meltCurve_C9J931_RHEB.pdf", "Melting_Curves/meltCurve_C9J931_RHEB.pdf")</f>
        <v>Melting_Curves/meltCurve_C9J931_RHEB.pdf</v>
      </c>
    </row>
    <row r="150" spans="1:28" x14ac:dyDescent="0.25">
      <c r="A150" t="s">
        <v>154</v>
      </c>
      <c r="B150">
        <v>1</v>
      </c>
      <c r="C150">
        <v>1.0373041933573801</v>
      </c>
      <c r="D150">
        <v>1.5678527211067499</v>
      </c>
      <c r="E150">
        <v>1.8943317004898499</v>
      </c>
      <c r="F150">
        <v>1.54303708887334</v>
      </c>
      <c r="G150">
        <v>1.7037734833396101</v>
      </c>
      <c r="H150">
        <v>1.1078214997039399</v>
      </c>
      <c r="I150">
        <v>2.1388275824944798</v>
      </c>
      <c r="J150">
        <v>1.9084351617591599</v>
      </c>
      <c r="K150">
        <v>1.69510685255962</v>
      </c>
      <c r="L150">
        <v>10833.0200880671</v>
      </c>
      <c r="M150">
        <v>250</v>
      </c>
      <c r="O150">
        <v>43.329308096044898</v>
      </c>
      <c r="P150">
        <v>0.72122085307572104</v>
      </c>
      <c r="Q150">
        <v>1.5</v>
      </c>
      <c r="R150">
        <v>0.30634464194765598</v>
      </c>
      <c r="S150" t="s">
        <v>2024</v>
      </c>
      <c r="T150" t="s">
        <v>3746</v>
      </c>
      <c r="U150" t="s">
        <v>3746</v>
      </c>
      <c r="V150" t="s">
        <v>3746</v>
      </c>
      <c r="W150" t="s">
        <v>3894</v>
      </c>
      <c r="X150">
        <v>5</v>
      </c>
      <c r="Y150" t="s">
        <v>5751</v>
      </c>
      <c r="Z150" t="s">
        <v>7538</v>
      </c>
      <c r="AA150">
        <v>1.4444273038966811</v>
      </c>
      <c r="AB150" t="str">
        <f>HYPERLINK("Melting_Curves/meltCurve_C9J9K3_RPSA.pdf", "Melting_Curves/meltCurve_C9J9K3_RPSA.pdf")</f>
        <v>Melting_Curves/meltCurve_C9J9K3_RPSA.pdf</v>
      </c>
    </row>
    <row r="151" spans="1:28" x14ac:dyDescent="0.25">
      <c r="A151" t="s">
        <v>155</v>
      </c>
      <c r="B151">
        <v>1</v>
      </c>
      <c r="C151">
        <v>1.0136575616255801</v>
      </c>
      <c r="D151">
        <v>1.27581612258494</v>
      </c>
      <c r="E151">
        <v>1.4976920148472399</v>
      </c>
      <c r="F151">
        <v>1.1528504806319599</v>
      </c>
      <c r="G151">
        <v>1.50828019415628</v>
      </c>
      <c r="H151">
        <v>0.59139145331683596</v>
      </c>
      <c r="I151">
        <v>1.3511230608166001</v>
      </c>
      <c r="J151">
        <v>1.2013419625011901</v>
      </c>
      <c r="K151">
        <v>1.0635409726848799</v>
      </c>
      <c r="L151">
        <v>10838.3012041932</v>
      </c>
      <c r="M151">
        <v>250</v>
      </c>
      <c r="O151">
        <v>43.350431679033498</v>
      </c>
      <c r="P151">
        <v>0.29592344165246998</v>
      </c>
      <c r="Q151">
        <v>1.2052545372088801</v>
      </c>
      <c r="R151">
        <v>9.4677722146580101E-2</v>
      </c>
      <c r="S151" t="s">
        <v>2025</v>
      </c>
      <c r="T151" t="s">
        <v>3746</v>
      </c>
      <c r="U151" t="s">
        <v>3746</v>
      </c>
      <c r="V151" t="s">
        <v>3746</v>
      </c>
      <c r="W151" t="s">
        <v>3895</v>
      </c>
      <c r="X151">
        <v>2</v>
      </c>
      <c r="Y151" t="s">
        <v>5752</v>
      </c>
      <c r="Z151" t="s">
        <v>7539</v>
      </c>
      <c r="AA151">
        <v>1.1822969038197759</v>
      </c>
      <c r="AB151" t="str">
        <f>HYPERLINK("Melting_Curves/meltCurve_C9J9T0_RPE.pdf", "Melting_Curves/meltCurve_C9J9T0_RPE.pdf")</f>
        <v>Melting_Curves/meltCurve_C9J9T0_RPE.pdf</v>
      </c>
    </row>
    <row r="152" spans="1:28" x14ac:dyDescent="0.25">
      <c r="A152" t="s">
        <v>156</v>
      </c>
      <c r="B152">
        <v>1</v>
      </c>
      <c r="C152">
        <v>1.1238700521395699</v>
      </c>
      <c r="D152">
        <v>1.38885632308025</v>
      </c>
      <c r="E152">
        <v>1.82988307160707</v>
      </c>
      <c r="F152">
        <v>0.98337086971276999</v>
      </c>
      <c r="G152">
        <v>0.95600530651281901</v>
      </c>
      <c r="H152">
        <v>0.60957023416530398</v>
      </c>
      <c r="I152">
        <v>1.0646962638447499</v>
      </c>
      <c r="J152">
        <v>1.17354148027026</v>
      </c>
      <c r="K152">
        <v>1.25971060994046</v>
      </c>
      <c r="L152">
        <v>1.0000000000000001E-5</v>
      </c>
      <c r="M152">
        <v>1.18196821633925</v>
      </c>
      <c r="Q152">
        <v>1.1812380853281601</v>
      </c>
      <c r="R152">
        <v>-6.7424190453024803E-7</v>
      </c>
      <c r="S152" t="s">
        <v>2026</v>
      </c>
      <c r="T152" t="s">
        <v>3746</v>
      </c>
      <c r="U152" t="s">
        <v>3746</v>
      </c>
      <c r="V152" t="s">
        <v>3746</v>
      </c>
      <c r="W152" t="s">
        <v>3896</v>
      </c>
      <c r="X152">
        <v>9</v>
      </c>
      <c r="Y152" t="s">
        <v>5753</v>
      </c>
      <c r="Z152" t="s">
        <v>7540</v>
      </c>
      <c r="AA152">
        <v>1.1387017742510159</v>
      </c>
      <c r="AB152" t="str">
        <f>HYPERLINK("Melting_Curves/meltCurve_C9J9W2_LASP1.pdf", "Melting_Curves/meltCurve_C9J9W2_LASP1.pdf")</f>
        <v>Melting_Curves/meltCurve_C9J9W2_LASP1.pdf</v>
      </c>
    </row>
    <row r="153" spans="1:28" x14ac:dyDescent="0.25">
      <c r="A153" t="s">
        <v>157</v>
      </c>
      <c r="B153">
        <v>1</v>
      </c>
      <c r="C153">
        <v>0.92755717516964098</v>
      </c>
      <c r="D153">
        <v>1.3149032420206099</v>
      </c>
      <c r="E153">
        <v>1.54592862528273</v>
      </c>
      <c r="F153">
        <v>1.04083940688615</v>
      </c>
      <c r="G153">
        <v>0.94716009047499405</v>
      </c>
      <c r="H153">
        <v>0.750942447851219</v>
      </c>
      <c r="I153">
        <v>1.0380120633325001</v>
      </c>
      <c r="J153">
        <v>1.1130937421462701</v>
      </c>
      <c r="K153">
        <v>0.97248052274440799</v>
      </c>
      <c r="L153">
        <v>1690.10820770087</v>
      </c>
      <c r="M153">
        <v>25.3549414082364</v>
      </c>
      <c r="O153">
        <v>66.247451258043199</v>
      </c>
      <c r="P153">
        <v>2.6545062828910101E-3</v>
      </c>
      <c r="Q153">
        <v>1.02774244462652</v>
      </c>
      <c r="R153">
        <v>-9.4262568636384506E-2</v>
      </c>
      <c r="S153" t="s">
        <v>2027</v>
      </c>
      <c r="T153" t="s">
        <v>3746</v>
      </c>
      <c r="U153" t="s">
        <v>3746</v>
      </c>
      <c r="V153" t="s">
        <v>3746</v>
      </c>
      <c r="W153" t="s">
        <v>3897</v>
      </c>
      <c r="X153">
        <v>6</v>
      </c>
      <c r="Y153" t="s">
        <v>5754</v>
      </c>
      <c r="Z153" t="s">
        <v>7541</v>
      </c>
      <c r="AA153">
        <v>1.0035388100958631</v>
      </c>
      <c r="AB153" t="str">
        <f>HYPERLINK("Melting_Curves/meltCurve_C9JCN0_MYOF.pdf", "Melting_Curves/meltCurve_C9JCN0_MYOF.pdf")</f>
        <v>Melting_Curves/meltCurve_C9JCN0_MYOF.pdf</v>
      </c>
    </row>
    <row r="154" spans="1:28" x14ac:dyDescent="0.25">
      <c r="A154" t="s">
        <v>158</v>
      </c>
      <c r="B154">
        <v>1</v>
      </c>
      <c r="C154">
        <v>0.76598606773961098</v>
      </c>
      <c r="D154">
        <v>1.01769557210345</v>
      </c>
      <c r="E154">
        <v>1.58139162462967</v>
      </c>
      <c r="F154">
        <v>0.85619345023620796</v>
      </c>
      <c r="G154">
        <v>0.974937945391945</v>
      </c>
      <c r="H154">
        <v>0.56189446713107505</v>
      </c>
      <c r="I154">
        <v>0.85651373208423398</v>
      </c>
      <c r="J154">
        <v>0.948034270157739</v>
      </c>
      <c r="K154">
        <v>0.793258067099047</v>
      </c>
      <c r="L154">
        <v>14363.9444097875</v>
      </c>
      <c r="M154">
        <v>250</v>
      </c>
      <c r="O154">
        <v>57.452100814486798</v>
      </c>
      <c r="P154">
        <v>-0.22853258529734299</v>
      </c>
      <c r="Q154">
        <v>0.78992516603626295</v>
      </c>
      <c r="R154">
        <v>0.215045065881905</v>
      </c>
      <c r="S154" t="s">
        <v>2028</v>
      </c>
      <c r="T154" t="s">
        <v>3746</v>
      </c>
      <c r="U154" t="s">
        <v>3746</v>
      </c>
      <c r="V154" t="s">
        <v>3746</v>
      </c>
      <c r="W154" t="s">
        <v>3898</v>
      </c>
      <c r="X154">
        <v>1</v>
      </c>
      <c r="Y154" t="s">
        <v>5755</v>
      </c>
      <c r="Z154" t="s">
        <v>7542</v>
      </c>
      <c r="AA154">
        <v>0.91218033502954732</v>
      </c>
      <c r="AB154" t="str">
        <f>HYPERLINK("Melting_Curves/meltCurve_C9JDV1_LSP1.pdf", "Melting_Curves/meltCurve_C9JDV1_LSP1.pdf")</f>
        <v>Melting_Curves/meltCurve_C9JDV1_LSP1.pdf</v>
      </c>
    </row>
    <row r="155" spans="1:28" x14ac:dyDescent="0.25">
      <c r="A155" t="s">
        <v>159</v>
      </c>
      <c r="B155">
        <v>1</v>
      </c>
      <c r="C155">
        <v>1.3174993216148601</v>
      </c>
      <c r="D155">
        <v>1.6618928452980399</v>
      </c>
      <c r="E155">
        <v>1.51204510507432</v>
      </c>
      <c r="F155">
        <v>0.93452829619802802</v>
      </c>
      <c r="G155">
        <v>1.1246721138481</v>
      </c>
      <c r="H155">
        <v>0.65287786052401497</v>
      </c>
      <c r="I155">
        <v>0.98599511562697895</v>
      </c>
      <c r="J155">
        <v>0.83727801730635898</v>
      </c>
      <c r="K155">
        <v>0.85634817740525204</v>
      </c>
      <c r="L155">
        <v>4898.5237551721502</v>
      </c>
      <c r="M155">
        <v>83.293528722281593</v>
      </c>
      <c r="O155">
        <v>58.776501578775203</v>
      </c>
      <c r="P155">
        <v>-5.8239433136936497E-2</v>
      </c>
      <c r="Q155">
        <v>0.83561221117511197</v>
      </c>
      <c r="R155">
        <v>3.0368233112810901E-2</v>
      </c>
      <c r="S155" t="s">
        <v>2029</v>
      </c>
      <c r="T155" t="s">
        <v>3746</v>
      </c>
      <c r="U155" t="s">
        <v>3746</v>
      </c>
      <c r="V155" t="s">
        <v>3746</v>
      </c>
      <c r="W155" t="s">
        <v>3899</v>
      </c>
      <c r="X155">
        <v>1</v>
      </c>
      <c r="Y155" t="s">
        <v>5756</v>
      </c>
      <c r="Z155" t="s">
        <v>7543</v>
      </c>
      <c r="AA155">
        <v>0.93883852460493644</v>
      </c>
      <c r="AB155" t="str">
        <f>HYPERLINK("Melting_Curves/meltCurve_C9JDX1_C1GALT1.pdf", "Melting_Curves/meltCurve_C9JDX1_C1GALT1.pdf")</f>
        <v>Melting_Curves/meltCurve_C9JDX1_C1GALT1.pdf</v>
      </c>
    </row>
    <row r="156" spans="1:28" x14ac:dyDescent="0.25">
      <c r="A156" t="s">
        <v>160</v>
      </c>
      <c r="B156">
        <v>1</v>
      </c>
      <c r="C156">
        <v>1.22652459328323</v>
      </c>
      <c r="D156">
        <v>1.81562172961659</v>
      </c>
      <c r="E156">
        <v>3.5118447340881001</v>
      </c>
      <c r="F156">
        <v>3.5702597279041002</v>
      </c>
      <c r="G156">
        <v>3.5528493958709899</v>
      </c>
      <c r="H156">
        <v>3.3834078584340199</v>
      </c>
      <c r="I156">
        <v>4.1684901531728702</v>
      </c>
      <c r="J156">
        <v>4.1296736751974104</v>
      </c>
      <c r="K156">
        <v>3.9493863571496499</v>
      </c>
      <c r="L156">
        <v>569.45155404929505</v>
      </c>
      <c r="M156">
        <v>40.7911577930536</v>
      </c>
      <c r="Q156">
        <v>1.5</v>
      </c>
      <c r="R156">
        <v>-1.78594343512422</v>
      </c>
      <c r="S156" t="s">
        <v>2030</v>
      </c>
      <c r="T156" t="s">
        <v>3746</v>
      </c>
      <c r="U156" t="s">
        <v>3746</v>
      </c>
      <c r="V156" t="s">
        <v>3746</v>
      </c>
      <c r="W156" t="s">
        <v>3900</v>
      </c>
      <c r="X156">
        <v>17</v>
      </c>
      <c r="Y156" t="s">
        <v>5757</v>
      </c>
      <c r="Z156" t="s">
        <v>7544</v>
      </c>
      <c r="AA156">
        <v>1.499999999999839</v>
      </c>
      <c r="AB156" t="str">
        <f>HYPERLINK("Melting_Curves/meltCurve_C9JEU5_FGG.pdf", "Melting_Curves/meltCurve_C9JEU5_FGG.pdf")</f>
        <v>Melting_Curves/meltCurve_C9JEU5_FGG.pdf</v>
      </c>
    </row>
    <row r="157" spans="1:28" x14ac:dyDescent="0.25">
      <c r="A157" t="s">
        <v>161</v>
      </c>
      <c r="B157">
        <v>1</v>
      </c>
      <c r="C157">
        <v>1.1236260571007199</v>
      </c>
      <c r="D157">
        <v>1.43876304813697</v>
      </c>
      <c r="E157">
        <v>1.3959951148696901</v>
      </c>
      <c r="F157">
        <v>1.2625527110168899</v>
      </c>
      <c r="G157">
        <v>1.1952439108694199</v>
      </c>
      <c r="H157">
        <v>0.54713459455722702</v>
      </c>
      <c r="I157">
        <v>1.11374058114616</v>
      </c>
      <c r="J157">
        <v>0.88932414683042604</v>
      </c>
      <c r="K157">
        <v>0.89437057861142499</v>
      </c>
      <c r="L157">
        <v>2339.76863620326</v>
      </c>
      <c r="M157">
        <v>39.904348272012101</v>
      </c>
      <c r="O157">
        <v>58.487752626152499</v>
      </c>
      <c r="P157">
        <v>-2.0668081440202199E-2</v>
      </c>
      <c r="Q157">
        <v>0.87882753156677196</v>
      </c>
      <c r="R157">
        <v>-3.7740269130795097E-2</v>
      </c>
      <c r="S157" t="s">
        <v>2031</v>
      </c>
      <c r="T157" t="s">
        <v>3746</v>
      </c>
      <c r="U157" t="s">
        <v>3746</v>
      </c>
      <c r="V157" t="s">
        <v>3746</v>
      </c>
      <c r="W157" t="s">
        <v>3901</v>
      </c>
      <c r="X157">
        <v>16</v>
      </c>
      <c r="Y157" t="s">
        <v>5758</v>
      </c>
      <c r="Z157" t="s">
        <v>7545</v>
      </c>
      <c r="AA157">
        <v>0.95457331740283735</v>
      </c>
      <c r="AB157" t="str">
        <f>HYPERLINK("Melting_Curves/meltCurve_C9JEV0_AZGP1.pdf", "Melting_Curves/meltCurve_C9JEV0_AZGP1.pdf")</f>
        <v>Melting_Curves/meltCurve_C9JEV0_AZGP1.pdf</v>
      </c>
    </row>
    <row r="158" spans="1:28" x14ac:dyDescent="0.25">
      <c r="A158" t="s">
        <v>162</v>
      </c>
      <c r="B158">
        <v>1</v>
      </c>
      <c r="C158">
        <v>1.1100154679041001</v>
      </c>
      <c r="D158">
        <v>1.36281902552204</v>
      </c>
      <c r="E158">
        <v>1.68242459396752</v>
      </c>
      <c r="F158">
        <v>1.3840873936581599</v>
      </c>
      <c r="G158">
        <v>2.26218097447796</v>
      </c>
      <c r="H158">
        <v>1.76334106728538</v>
      </c>
      <c r="I158">
        <v>3.1307037896365002</v>
      </c>
      <c r="J158">
        <v>3.0201082753286901</v>
      </c>
      <c r="K158">
        <v>2.9512761020881699</v>
      </c>
      <c r="L158">
        <v>1771.97711876588</v>
      </c>
      <c r="M158">
        <v>39.811358866982502</v>
      </c>
      <c r="O158">
        <v>44.397478185432398</v>
      </c>
      <c r="P158">
        <v>0.112088138946612</v>
      </c>
      <c r="Q158">
        <v>1.5</v>
      </c>
      <c r="R158">
        <v>-0.29265853190166102</v>
      </c>
      <c r="S158" t="s">
        <v>2032</v>
      </c>
      <c r="T158" t="s">
        <v>3746</v>
      </c>
      <c r="U158" t="s">
        <v>3746</v>
      </c>
      <c r="V158" t="s">
        <v>3746</v>
      </c>
      <c r="W158" t="s">
        <v>3902</v>
      </c>
      <c r="X158">
        <v>6</v>
      </c>
      <c r="Y158" t="s">
        <v>5759</v>
      </c>
      <c r="Z158" t="s">
        <v>7546</v>
      </c>
      <c r="AA158">
        <v>1.4231298387925271</v>
      </c>
      <c r="AB158" t="str">
        <f>HYPERLINK("Melting_Curves/meltCurve_C9JEV6_NAGK.pdf", "Melting_Curves/meltCurve_C9JEV6_NAGK.pdf")</f>
        <v>Melting_Curves/meltCurve_C9JEV6_NAGK.pdf</v>
      </c>
    </row>
    <row r="159" spans="1:28" x14ac:dyDescent="0.25">
      <c r="A159" t="s">
        <v>163</v>
      </c>
      <c r="B159">
        <v>1</v>
      </c>
      <c r="C159">
        <v>0.91563155347636704</v>
      </c>
      <c r="D159">
        <v>1.0819487014034499</v>
      </c>
      <c r="E159">
        <v>1.09538635263752</v>
      </c>
      <c r="F159">
        <v>0.89548314244232896</v>
      </c>
      <c r="G159">
        <v>0.90629133731247002</v>
      </c>
      <c r="H159">
        <v>0.53631230843684496</v>
      </c>
      <c r="I159">
        <v>0.83679625746088104</v>
      </c>
      <c r="J159">
        <v>0.873511856751089</v>
      </c>
      <c r="K159">
        <v>0.82321342151959997</v>
      </c>
      <c r="L159">
        <v>2009.3718048473199</v>
      </c>
      <c r="M159">
        <v>36.502559637166399</v>
      </c>
      <c r="O159">
        <v>54.882990726185902</v>
      </c>
      <c r="P159">
        <v>-3.6616331918249902E-2</v>
      </c>
      <c r="Q159">
        <v>0.77978445005374997</v>
      </c>
      <c r="R159">
        <v>0.51072007311463496</v>
      </c>
      <c r="S159" t="s">
        <v>2033</v>
      </c>
      <c r="T159" t="s">
        <v>3746</v>
      </c>
      <c r="U159" t="s">
        <v>3746</v>
      </c>
      <c r="V159" t="s">
        <v>3746</v>
      </c>
      <c r="W159" t="s">
        <v>3903</v>
      </c>
      <c r="X159">
        <v>5</v>
      </c>
      <c r="Y159" t="s">
        <v>5760</v>
      </c>
      <c r="Z159" t="s">
        <v>7547</v>
      </c>
      <c r="AA159">
        <v>0.89124069459437849</v>
      </c>
      <c r="AB159" t="str">
        <f>HYPERLINK("Melting_Curves/meltCurve_C9JF17_APOD.pdf", "Melting_Curves/meltCurve_C9JF17_APOD.pdf")</f>
        <v>Melting_Curves/meltCurve_C9JF17_APOD.pdf</v>
      </c>
    </row>
    <row r="160" spans="1:28" x14ac:dyDescent="0.25">
      <c r="A160" t="s">
        <v>164</v>
      </c>
      <c r="B160">
        <v>1</v>
      </c>
      <c r="C160">
        <v>1.4230275817831901</v>
      </c>
      <c r="D160">
        <v>2.3528971562967702</v>
      </c>
      <c r="E160">
        <v>4.0939704939063501</v>
      </c>
      <c r="F160">
        <v>3.7859739149027201</v>
      </c>
      <c r="G160">
        <v>4.6197348727816996</v>
      </c>
      <c r="H160">
        <v>2.6746846268975801</v>
      </c>
      <c r="I160">
        <v>4.9718836861235802</v>
      </c>
      <c r="J160">
        <v>3.4882403249946501</v>
      </c>
      <c r="K160">
        <v>3.5281163138764202</v>
      </c>
      <c r="L160">
        <v>10651.8987799158</v>
      </c>
      <c r="M160">
        <v>250</v>
      </c>
      <c r="O160">
        <v>42.604868551017802</v>
      </c>
      <c r="P160">
        <v>0.73348425015693497</v>
      </c>
      <c r="Q160">
        <v>1.5</v>
      </c>
      <c r="R160">
        <v>-1.8369981975427601</v>
      </c>
      <c r="S160" t="s">
        <v>2034</v>
      </c>
      <c r="T160" t="s">
        <v>3746</v>
      </c>
      <c r="U160" t="s">
        <v>3746</v>
      </c>
      <c r="V160" t="s">
        <v>3746</v>
      </c>
      <c r="W160" t="s">
        <v>3904</v>
      </c>
      <c r="X160">
        <v>2</v>
      </c>
      <c r="Y160" t="s">
        <v>5761</v>
      </c>
      <c r="Z160" t="s">
        <v>7548</v>
      </c>
      <c r="AA160">
        <v>1.456502693298106</v>
      </c>
      <c r="AB160" t="str">
        <f>HYPERLINK("Melting_Curves/meltCurve_C9JFE4_GPS1.pdf", "Melting_Curves/meltCurve_C9JFE4_GPS1.pdf")</f>
        <v>Melting_Curves/meltCurve_C9JFE4_GPS1.pdf</v>
      </c>
    </row>
    <row r="161" spans="1:28" x14ac:dyDescent="0.25">
      <c r="A161" t="s">
        <v>165</v>
      </c>
      <c r="B161">
        <v>1</v>
      </c>
      <c r="C161">
        <v>1.1030267753201399</v>
      </c>
      <c r="D161">
        <v>1.46191584899385</v>
      </c>
      <c r="E161">
        <v>1.7743223016796901</v>
      </c>
      <c r="F161">
        <v>1.3153999667387299</v>
      </c>
      <c r="G161">
        <v>1.3175619491102599</v>
      </c>
      <c r="H161">
        <v>0.96041909196740405</v>
      </c>
      <c r="I161">
        <v>1.3130716780309299</v>
      </c>
      <c r="J161">
        <v>1.30616996507567</v>
      </c>
      <c r="K161">
        <v>1.2296690503908201</v>
      </c>
      <c r="L161">
        <v>10759.7850246204</v>
      </c>
      <c r="M161">
        <v>250</v>
      </c>
      <c r="O161">
        <v>43.036368533607501</v>
      </c>
      <c r="P161">
        <v>0.48624005115664298</v>
      </c>
      <c r="Q161">
        <v>1.3348162320006201</v>
      </c>
      <c r="R161">
        <v>0.26947387716778698</v>
      </c>
      <c r="S161" t="s">
        <v>2035</v>
      </c>
      <c r="T161" t="s">
        <v>3746</v>
      </c>
      <c r="U161" t="s">
        <v>3746</v>
      </c>
      <c r="V161" t="s">
        <v>3746</v>
      </c>
      <c r="W161" t="s">
        <v>3905</v>
      </c>
      <c r="X161">
        <v>2</v>
      </c>
      <c r="Y161" t="s">
        <v>5762</v>
      </c>
      <c r="Z161" t="s">
        <v>7549</v>
      </c>
      <c r="AA161">
        <v>1.300872494433325</v>
      </c>
      <c r="AB161" t="str">
        <f>HYPERLINK("Melting_Curves/meltCurve_C9JFM0_PTPRZ1.pdf", "Melting_Curves/meltCurve_C9JFM0_PTPRZ1.pdf")</f>
        <v>Melting_Curves/meltCurve_C9JFM0_PTPRZ1.pdf</v>
      </c>
    </row>
    <row r="162" spans="1:28" x14ac:dyDescent="0.25">
      <c r="A162" t="s">
        <v>166</v>
      </c>
      <c r="B162">
        <v>1</v>
      </c>
      <c r="C162">
        <v>1.07919334950877</v>
      </c>
      <c r="D162">
        <v>1.6445248796786101</v>
      </c>
      <c r="E162">
        <v>2.4361003937790899</v>
      </c>
      <c r="F162">
        <v>1.6634183206714099</v>
      </c>
      <c r="G162">
        <v>1.7290083926653701</v>
      </c>
      <c r="H162">
        <v>1.2873791814168101</v>
      </c>
      <c r="I162">
        <v>1.7647269400580701</v>
      </c>
      <c r="J162">
        <v>1.9037031144345899</v>
      </c>
      <c r="K162">
        <v>1.6280975299311899</v>
      </c>
      <c r="L162">
        <v>10796.6549220819</v>
      </c>
      <c r="M162">
        <v>250</v>
      </c>
      <c r="O162">
        <v>43.183856076842901</v>
      </c>
      <c r="P162">
        <v>0.72365006066411097</v>
      </c>
      <c r="Q162">
        <v>1.5</v>
      </c>
      <c r="R162">
        <v>0.18992742675982899</v>
      </c>
      <c r="S162" t="s">
        <v>2036</v>
      </c>
      <c r="T162" t="s">
        <v>3746</v>
      </c>
      <c r="U162" t="s">
        <v>3746</v>
      </c>
      <c r="V162" t="s">
        <v>3746</v>
      </c>
      <c r="W162" t="s">
        <v>3906</v>
      </c>
      <c r="X162">
        <v>1</v>
      </c>
      <c r="Y162" t="s">
        <v>5763</v>
      </c>
      <c r="Z162" t="s">
        <v>7550</v>
      </c>
      <c r="AA162">
        <v>1.446851775933002</v>
      </c>
      <c r="AB162" t="str">
        <f>HYPERLINK("Melting_Curves/meltCurve_C9JFX5_EPHA4.pdf", "Melting_Curves/meltCurve_C9JFX5_EPHA4.pdf")</f>
        <v>Melting_Curves/meltCurve_C9JFX5_EPHA4.pdf</v>
      </c>
    </row>
    <row r="163" spans="1:28" x14ac:dyDescent="0.25">
      <c r="A163" t="s">
        <v>167</v>
      </c>
      <c r="B163">
        <v>1</v>
      </c>
      <c r="C163">
        <v>1.0383617967563801</v>
      </c>
      <c r="D163">
        <v>1.58485951923465</v>
      </c>
      <c r="E163">
        <v>2.09411069158728</v>
      </c>
      <c r="F163">
        <v>1.6274538785053001</v>
      </c>
      <c r="G163">
        <v>1.7467718312887099</v>
      </c>
      <c r="H163">
        <v>1.3100385633473499</v>
      </c>
      <c r="I163">
        <v>2.0051596952555002</v>
      </c>
      <c r="J163">
        <v>2.0957230963546198</v>
      </c>
      <c r="K163">
        <v>1.9280330005509001</v>
      </c>
      <c r="L163">
        <v>10831.722498012699</v>
      </c>
      <c r="M163">
        <v>250</v>
      </c>
      <c r="O163">
        <v>43.3241178794799</v>
      </c>
      <c r="P163">
        <v>0.72130725198605505</v>
      </c>
      <c r="Q163">
        <v>1.5</v>
      </c>
      <c r="R163">
        <v>0.169473719531475</v>
      </c>
      <c r="S163" t="s">
        <v>2037</v>
      </c>
      <c r="T163" t="s">
        <v>3746</v>
      </c>
      <c r="U163" t="s">
        <v>3746</v>
      </c>
      <c r="V163" t="s">
        <v>3746</v>
      </c>
      <c r="W163" t="s">
        <v>3907</v>
      </c>
      <c r="X163">
        <v>5</v>
      </c>
      <c r="Y163" t="s">
        <v>5764</v>
      </c>
      <c r="Z163" t="s">
        <v>7551</v>
      </c>
      <c r="AA163">
        <v>1.444513814454734</v>
      </c>
      <c r="AB163" t="str">
        <f>HYPERLINK("Melting_Curves/meltCurve_C9JGI3_TYMP.pdf", "Melting_Curves/meltCurve_C9JGI3_TYMP.pdf")</f>
        <v>Melting_Curves/meltCurve_C9JGI3_TYMP.pdf</v>
      </c>
    </row>
    <row r="164" spans="1:28" x14ac:dyDescent="0.25">
      <c r="A164" t="s">
        <v>168</v>
      </c>
      <c r="B164">
        <v>1</v>
      </c>
      <c r="C164">
        <v>0.98788021878566101</v>
      </c>
      <c r="D164">
        <v>1.60048006925589</v>
      </c>
      <c r="E164">
        <v>1.5682524692086699</v>
      </c>
      <c r="F164">
        <v>1.31235981584229</v>
      </c>
      <c r="G164">
        <v>2.10596938574745</v>
      </c>
      <c r="H164">
        <v>1.85011608232007</v>
      </c>
      <c r="I164">
        <v>3.5743517097548501</v>
      </c>
      <c r="J164">
        <v>4.4807775547947903</v>
      </c>
      <c r="K164">
        <v>3.8659741077401302</v>
      </c>
      <c r="L164">
        <v>11053.831616797301</v>
      </c>
      <c r="M164">
        <v>250</v>
      </c>
      <c r="O164">
        <v>44.212497047436898</v>
      </c>
      <c r="P164">
        <v>0.70681373302822703</v>
      </c>
      <c r="Q164">
        <v>1.5</v>
      </c>
      <c r="R164">
        <v>-0.33823361026534698</v>
      </c>
      <c r="S164" t="s">
        <v>2038</v>
      </c>
      <c r="T164" t="s">
        <v>3746</v>
      </c>
      <c r="U164" t="s">
        <v>3746</v>
      </c>
      <c r="V164" t="s">
        <v>3746</v>
      </c>
      <c r="W164" t="s">
        <v>3908</v>
      </c>
      <c r="X164">
        <v>2</v>
      </c>
      <c r="Y164" t="s">
        <v>5765</v>
      </c>
      <c r="Z164" t="s">
        <v>7552</v>
      </c>
      <c r="AA164">
        <v>1.4297057602752661</v>
      </c>
      <c r="AB164" t="str">
        <f>HYPERLINK("Melting_Curves/meltCurve_C9JH92_CRYZ.pdf", "Melting_Curves/meltCurve_C9JH92_CRYZ.pdf")</f>
        <v>Melting_Curves/meltCurve_C9JH92_CRYZ.pdf</v>
      </c>
    </row>
    <row r="165" spans="1:28" x14ac:dyDescent="0.25">
      <c r="A165" t="s">
        <v>169</v>
      </c>
      <c r="B165">
        <v>1</v>
      </c>
      <c r="C165">
        <v>1.0506076048608399</v>
      </c>
      <c r="D165">
        <v>1.2452632954397</v>
      </c>
      <c r="E165">
        <v>1.46961975695806</v>
      </c>
      <c r="F165">
        <v>1.07555207108324</v>
      </c>
      <c r="G165">
        <v>1.1138899777864899</v>
      </c>
      <c r="H165">
        <v>0.71877695021560195</v>
      </c>
      <c r="I165">
        <v>0.98912844636090402</v>
      </c>
      <c r="J165">
        <v>0.96985495883967099</v>
      </c>
      <c r="K165">
        <v>0.93082451326277305</v>
      </c>
      <c r="L165">
        <v>2325.8543393886398</v>
      </c>
      <c r="M165">
        <v>39.753153239853098</v>
      </c>
      <c r="O165">
        <v>58.359952544416203</v>
      </c>
      <c r="P165">
        <v>-1.47732160431961E-2</v>
      </c>
      <c r="Q165">
        <v>0.91324841129801604</v>
      </c>
      <c r="R165">
        <v>-1.45054147057633E-2</v>
      </c>
      <c r="S165" t="s">
        <v>2039</v>
      </c>
      <c r="T165" t="s">
        <v>3746</v>
      </c>
      <c r="U165" t="s">
        <v>3746</v>
      </c>
      <c r="V165" t="s">
        <v>3746</v>
      </c>
      <c r="W165" t="s">
        <v>3909</v>
      </c>
      <c r="X165">
        <v>1</v>
      </c>
      <c r="Y165" t="s">
        <v>5766</v>
      </c>
      <c r="Z165" t="s">
        <v>7553</v>
      </c>
      <c r="AA165">
        <v>0.96711252377342805</v>
      </c>
      <c r="AB165" t="str">
        <f>HYPERLINK("Melting_Curves/meltCurve_C9JHJ7_ACVR1.pdf", "Melting_Curves/meltCurve_C9JHJ7_ACVR1.pdf")</f>
        <v>Melting_Curves/meltCurve_C9JHJ7_ACVR1.pdf</v>
      </c>
    </row>
    <row r="166" spans="1:28" x14ac:dyDescent="0.25">
      <c r="A166" t="s">
        <v>170</v>
      </c>
      <c r="B166">
        <v>1</v>
      </c>
      <c r="C166">
        <v>0.94856577645895201</v>
      </c>
      <c r="D166">
        <v>1.75349874781657</v>
      </c>
      <c r="E166">
        <v>2.3658901024896402</v>
      </c>
      <c r="F166">
        <v>2.5420375865479699</v>
      </c>
      <c r="G166">
        <v>2.8930698486857298</v>
      </c>
      <c r="H166">
        <v>1.9843003556621801</v>
      </c>
      <c r="I166">
        <v>3.6690026727276601</v>
      </c>
      <c r="J166">
        <v>2.6954563629858801</v>
      </c>
      <c r="K166">
        <v>2.9877727971041899</v>
      </c>
      <c r="L166">
        <v>11065.1452602997</v>
      </c>
      <c r="M166">
        <v>250</v>
      </c>
      <c r="O166">
        <v>44.257750077411302</v>
      </c>
      <c r="P166">
        <v>0.70609104583941096</v>
      </c>
      <c r="Q166">
        <v>1.5</v>
      </c>
      <c r="R166">
        <v>-0.81906632835693705</v>
      </c>
      <c r="S166" t="s">
        <v>2040</v>
      </c>
      <c r="T166" t="s">
        <v>3746</v>
      </c>
      <c r="U166" t="s">
        <v>3746</v>
      </c>
      <c r="V166" t="s">
        <v>3746</v>
      </c>
      <c r="W166" t="s">
        <v>3910</v>
      </c>
      <c r="X166">
        <v>1</v>
      </c>
      <c r="Y166" t="s">
        <v>5767</v>
      </c>
      <c r="Z166" t="s">
        <v>7554</v>
      </c>
      <c r="AA166">
        <v>1.428951477664572</v>
      </c>
      <c r="AB166" t="str">
        <f>HYPERLINK("Melting_Curves/meltCurve_C9JIM0_PBLD.pdf", "Melting_Curves/meltCurve_C9JIM0_PBLD.pdf")</f>
        <v>Melting_Curves/meltCurve_C9JIM0_PBLD.pdf</v>
      </c>
    </row>
    <row r="167" spans="1:28" x14ac:dyDescent="0.25">
      <c r="A167" t="s">
        <v>171</v>
      </c>
      <c r="B167">
        <v>1</v>
      </c>
      <c r="C167">
        <v>1.0129343551068399</v>
      </c>
      <c r="D167">
        <v>1.23383205611645</v>
      </c>
      <c r="E167">
        <v>1.3748124721242301</v>
      </c>
      <c r="F167">
        <v>0.94072091797429302</v>
      </c>
      <c r="G167">
        <v>1.05327819000122</v>
      </c>
      <c r="H167">
        <v>0.61115841544013305</v>
      </c>
      <c r="I167">
        <v>0.906702347646272</v>
      </c>
      <c r="J167">
        <v>0.93017881036370298</v>
      </c>
      <c r="K167">
        <v>0.86587195393909899</v>
      </c>
      <c r="L167">
        <v>4714.9939208270098</v>
      </c>
      <c r="M167">
        <v>80.618049919458102</v>
      </c>
      <c r="O167">
        <v>58.449628089077201</v>
      </c>
      <c r="P167">
        <v>-5.8146849568108602E-2</v>
      </c>
      <c r="Q167">
        <v>0.83136970911921904</v>
      </c>
      <c r="R167">
        <v>0.29239261621107998</v>
      </c>
      <c r="S167" t="s">
        <v>2041</v>
      </c>
      <c r="T167" t="s">
        <v>3746</v>
      </c>
      <c r="U167" t="s">
        <v>3746</v>
      </c>
      <c r="V167" t="s">
        <v>3746</v>
      </c>
      <c r="W167" t="s">
        <v>3911</v>
      </c>
      <c r="X167">
        <v>24</v>
      </c>
      <c r="Y167" t="s">
        <v>5768</v>
      </c>
      <c r="Z167" t="s">
        <v>7555</v>
      </c>
      <c r="AA167">
        <v>0.9354441234140547</v>
      </c>
      <c r="AB167" t="str">
        <f>HYPERLINK("Melting_Curves/meltCurve_C9JIZ6_PSAP.pdf", "Melting_Curves/meltCurve_C9JIZ6_PSAP.pdf")</f>
        <v>Melting_Curves/meltCurve_C9JIZ6_PSAP.pdf</v>
      </c>
    </row>
    <row r="168" spans="1:28" x14ac:dyDescent="0.25">
      <c r="A168" t="s">
        <v>172</v>
      </c>
      <c r="B168">
        <v>1</v>
      </c>
      <c r="C168">
        <v>1.1980581402068999</v>
      </c>
      <c r="D168">
        <v>1.7110327688840099</v>
      </c>
      <c r="E168">
        <v>2.3124891637288298</v>
      </c>
      <c r="F168">
        <v>1.6547997457088399</v>
      </c>
      <c r="G168">
        <v>2.3140495867768598</v>
      </c>
      <c r="H168">
        <v>1.2324452407097</v>
      </c>
      <c r="I168">
        <v>2.0006357279084601</v>
      </c>
      <c r="J168">
        <v>2.1155290990001698</v>
      </c>
      <c r="K168">
        <v>1.6385019938738901</v>
      </c>
      <c r="L168">
        <v>10743.089797392</v>
      </c>
      <c r="M168">
        <v>250</v>
      </c>
      <c r="O168">
        <v>42.969609165593603</v>
      </c>
      <c r="P168">
        <v>0.72725818518526897</v>
      </c>
      <c r="Q168">
        <v>1.5</v>
      </c>
      <c r="R168">
        <v>-6.7219357652305897E-2</v>
      </c>
      <c r="S168" t="s">
        <v>2042</v>
      </c>
      <c r="T168" t="s">
        <v>3746</v>
      </c>
      <c r="U168" t="s">
        <v>3746</v>
      </c>
      <c r="V168" t="s">
        <v>3746</v>
      </c>
      <c r="W168" t="s">
        <v>3912</v>
      </c>
      <c r="X168">
        <v>2</v>
      </c>
      <c r="Y168" t="s">
        <v>5769</v>
      </c>
      <c r="Z168" t="s">
        <v>7556</v>
      </c>
      <c r="AA168">
        <v>1.450422972242009</v>
      </c>
      <c r="AB168" t="str">
        <f>HYPERLINK("Melting_Curves/meltCurve_C9JMA6_CBS.pdf", "Melting_Curves/meltCurve_C9JMA6_CBS.pdf")</f>
        <v>Melting_Curves/meltCurve_C9JMA6_CBS.pdf</v>
      </c>
    </row>
    <row r="169" spans="1:28" x14ac:dyDescent="0.25">
      <c r="A169" t="s">
        <v>173</v>
      </c>
      <c r="B169">
        <v>1</v>
      </c>
      <c r="C169">
        <v>1.2289350301406601</v>
      </c>
      <c r="D169">
        <v>2.31643968147652</v>
      </c>
      <c r="E169">
        <v>3.3968891865743802</v>
      </c>
      <c r="F169">
        <v>2.4087221850115399</v>
      </c>
      <c r="G169">
        <v>2.2052541489915898</v>
      </c>
      <c r="H169">
        <v>1.1797127334970601</v>
      </c>
      <c r="I169">
        <v>1.9901763786559501</v>
      </c>
      <c r="J169">
        <v>2.08186351120042</v>
      </c>
      <c r="K169">
        <v>1.9077174964649799</v>
      </c>
      <c r="L169">
        <v>10732.2466202004</v>
      </c>
      <c r="M169">
        <v>250</v>
      </c>
      <c r="O169">
        <v>42.926239327823197</v>
      </c>
      <c r="P169">
        <v>0.72799296045139394</v>
      </c>
      <c r="Q169">
        <v>1.5</v>
      </c>
      <c r="R169">
        <v>-0.41900922660592399</v>
      </c>
      <c r="S169" t="s">
        <v>2043</v>
      </c>
      <c r="T169" t="s">
        <v>3746</v>
      </c>
      <c r="U169" t="s">
        <v>3746</v>
      </c>
      <c r="V169" t="s">
        <v>3746</v>
      </c>
      <c r="W169" t="s">
        <v>3913</v>
      </c>
      <c r="X169">
        <v>1</v>
      </c>
      <c r="Y169" t="s">
        <v>5770</v>
      </c>
      <c r="Z169" t="s">
        <v>7557</v>
      </c>
      <c r="AA169">
        <v>1.451145888774074</v>
      </c>
      <c r="AB169" t="str">
        <f>HYPERLINK("Melting_Curves/meltCurve_C9JTY3_TFG.pdf", "Melting_Curves/meltCurve_C9JTY3_TFG.pdf")</f>
        <v>Melting_Curves/meltCurve_C9JTY3_TFG.pdf</v>
      </c>
    </row>
    <row r="170" spans="1:28" x14ac:dyDescent="0.25">
      <c r="A170" t="s">
        <v>174</v>
      </c>
      <c r="B170">
        <v>1</v>
      </c>
      <c r="C170">
        <v>0.96254974880929101</v>
      </c>
      <c r="D170">
        <v>1.32609121158739</v>
      </c>
      <c r="E170">
        <v>1.70039799047433</v>
      </c>
      <c r="F170">
        <v>1.1354472499510699</v>
      </c>
      <c r="G170">
        <v>1.28922815945717</v>
      </c>
      <c r="H170">
        <v>0.74378547660990402</v>
      </c>
      <c r="I170">
        <v>1.27878906504861</v>
      </c>
      <c r="J170">
        <v>1.09075487701442</v>
      </c>
      <c r="K170">
        <v>1.0957786911985401</v>
      </c>
      <c r="L170">
        <v>11075.028284559599</v>
      </c>
      <c r="M170">
        <v>250</v>
      </c>
      <c r="O170">
        <v>44.297278237299899</v>
      </c>
      <c r="P170">
        <v>0.29281520468911598</v>
      </c>
      <c r="Q170">
        <v>1.20753466520595</v>
      </c>
      <c r="R170">
        <v>0.13584776277778099</v>
      </c>
      <c r="S170" t="s">
        <v>2044</v>
      </c>
      <c r="T170" t="s">
        <v>3746</v>
      </c>
      <c r="U170" t="s">
        <v>3746</v>
      </c>
      <c r="V170" t="s">
        <v>3746</v>
      </c>
      <c r="W170" t="s">
        <v>3914</v>
      </c>
      <c r="X170">
        <v>2</v>
      </c>
      <c r="Y170" t="s">
        <v>5771</v>
      </c>
      <c r="Z170" t="s">
        <v>7558</v>
      </c>
      <c r="AA170">
        <v>1.1777711121975789</v>
      </c>
      <c r="AB170" t="str">
        <f>HYPERLINK("Melting_Curves/meltCurve_C9JV08_IFNAR1.pdf", "Melting_Curves/meltCurve_C9JV08_IFNAR1.pdf")</f>
        <v>Melting_Curves/meltCurve_C9JV08_IFNAR1.pdf</v>
      </c>
    </row>
    <row r="171" spans="1:28" x14ac:dyDescent="0.25">
      <c r="A171" t="s">
        <v>175</v>
      </c>
      <c r="B171">
        <v>1</v>
      </c>
      <c r="C171">
        <v>0.86880909872379797</v>
      </c>
      <c r="D171">
        <v>1.08966474905773</v>
      </c>
      <c r="E171">
        <v>1.3361105600740599</v>
      </c>
      <c r="F171">
        <v>0.94650532301792001</v>
      </c>
      <c r="G171">
        <v>1.1501024928916199</v>
      </c>
      <c r="H171">
        <v>0.62479005488328998</v>
      </c>
      <c r="I171">
        <v>0.91423659326853102</v>
      </c>
      <c r="J171">
        <v>0.87046220987899203</v>
      </c>
      <c r="K171">
        <v>0.82377835085631201</v>
      </c>
      <c r="L171">
        <v>3520.1736952501001</v>
      </c>
      <c r="M171">
        <v>59.816844712709297</v>
      </c>
      <c r="O171">
        <v>58.783560268724599</v>
      </c>
      <c r="P171">
        <v>-4.8010016294246602E-2</v>
      </c>
      <c r="Q171">
        <v>0.81127741377114704</v>
      </c>
      <c r="R171">
        <v>0.340019982139869</v>
      </c>
      <c r="S171" t="s">
        <v>2045</v>
      </c>
      <c r="T171" t="s">
        <v>3746</v>
      </c>
      <c r="U171" t="s">
        <v>3746</v>
      </c>
      <c r="V171" t="s">
        <v>3746</v>
      </c>
      <c r="W171" t="s">
        <v>3915</v>
      </c>
      <c r="X171">
        <v>1</v>
      </c>
      <c r="Y171" t="s">
        <v>5772</v>
      </c>
      <c r="Z171" t="s">
        <v>7559</v>
      </c>
      <c r="AA171">
        <v>0.9301941484319447</v>
      </c>
      <c r="AB171" t="str">
        <f>HYPERLINK("Melting_Curves/meltCurve_C9JVB2_KIAA0319L.pdf", "Melting_Curves/meltCurve_C9JVB2_KIAA0319L.pdf")</f>
        <v>Melting_Curves/meltCurve_C9JVB2_KIAA0319L.pdf</v>
      </c>
    </row>
    <row r="172" spans="1:28" x14ac:dyDescent="0.25">
      <c r="A172" t="s">
        <v>176</v>
      </c>
      <c r="B172">
        <v>1</v>
      </c>
      <c r="C172">
        <v>0.96312585603408896</v>
      </c>
      <c r="D172">
        <v>1.4861360523512399</v>
      </c>
      <c r="E172">
        <v>1.53036067569624</v>
      </c>
      <c r="F172">
        <v>1.4429006239537401</v>
      </c>
      <c r="G172">
        <v>1.5562319281692301</v>
      </c>
      <c r="H172">
        <v>0.96840663521533998</v>
      </c>
      <c r="I172">
        <v>1.4373306954801399</v>
      </c>
      <c r="J172">
        <v>1.4385786029523699</v>
      </c>
      <c r="K172">
        <v>1.2268908841881001</v>
      </c>
      <c r="L172">
        <v>11078.1527432658</v>
      </c>
      <c r="M172">
        <v>250</v>
      </c>
      <c r="O172">
        <v>44.309775272436099</v>
      </c>
      <c r="P172">
        <v>0.54426054245437305</v>
      </c>
      <c r="Q172">
        <v>1.3858569966512999</v>
      </c>
      <c r="R172">
        <v>0.491769143331801</v>
      </c>
      <c r="S172" t="s">
        <v>2046</v>
      </c>
      <c r="T172" t="s">
        <v>3746</v>
      </c>
      <c r="U172" t="s">
        <v>3746</v>
      </c>
      <c r="V172" t="s">
        <v>3746</v>
      </c>
      <c r="W172" t="s">
        <v>3916</v>
      </c>
      <c r="X172">
        <v>1</v>
      </c>
      <c r="Y172" t="s">
        <v>5773</v>
      </c>
      <c r="Z172" t="s">
        <v>7560</v>
      </c>
      <c r="AA172">
        <v>1.3303586187534751</v>
      </c>
      <c r="AB172" t="str">
        <f>HYPERLINK("Melting_Curves/meltCurve_C9JXB8_RPL24.pdf", "Melting_Curves/meltCurve_C9JXB8_RPL24.pdf")</f>
        <v>Melting_Curves/meltCurve_C9JXB8_RPL24.pdf</v>
      </c>
    </row>
    <row r="173" spans="1:28" x14ac:dyDescent="0.25">
      <c r="A173" t="s">
        <v>177</v>
      </c>
      <c r="B173">
        <v>1</v>
      </c>
      <c r="C173">
        <v>1.0975928040453899</v>
      </c>
      <c r="D173">
        <v>1.38331041875422</v>
      </c>
      <c r="E173">
        <v>1.63859436534384</v>
      </c>
      <c r="F173">
        <v>1.10637802064642</v>
      </c>
      <c r="G173">
        <v>1.1214317339733899</v>
      </c>
      <c r="H173">
        <v>1.0188054901778001</v>
      </c>
      <c r="I173">
        <v>1.0971500477710701</v>
      </c>
      <c r="J173">
        <v>1.11250669960152</v>
      </c>
      <c r="K173">
        <v>1.0854752639060401</v>
      </c>
      <c r="L173">
        <v>10725.1188859751</v>
      </c>
      <c r="M173">
        <v>250</v>
      </c>
      <c r="O173">
        <v>42.897742319162099</v>
      </c>
      <c r="P173">
        <v>0.28477104485696503</v>
      </c>
      <c r="Q173">
        <v>1.19545650322214</v>
      </c>
      <c r="R173">
        <v>0.113853799773315</v>
      </c>
      <c r="S173" t="s">
        <v>2047</v>
      </c>
      <c r="T173" t="s">
        <v>3746</v>
      </c>
      <c r="U173" t="s">
        <v>3746</v>
      </c>
      <c r="V173" t="s">
        <v>3746</v>
      </c>
      <c r="W173" t="s">
        <v>3917</v>
      </c>
      <c r="X173">
        <v>9</v>
      </c>
      <c r="Y173" t="s">
        <v>5774</v>
      </c>
      <c r="Z173" t="s">
        <v>7561</v>
      </c>
      <c r="AA173">
        <v>1.1765445604377871</v>
      </c>
      <c r="AB173" t="str">
        <f>HYPERLINK("Melting_Curves/meltCurve_C9JYY6_NRCAM.pdf", "Melting_Curves/meltCurve_C9JYY6_NRCAM.pdf")</f>
        <v>Melting_Curves/meltCurve_C9JYY6_NRCAM.pdf</v>
      </c>
    </row>
    <row r="174" spans="1:28" x14ac:dyDescent="0.25">
      <c r="A174" t="s">
        <v>178</v>
      </c>
      <c r="B174">
        <v>1</v>
      </c>
      <c r="C174">
        <v>0.95094459251605601</v>
      </c>
      <c r="D174">
        <v>1.2740551139499099</v>
      </c>
      <c r="E174">
        <v>1.5027768319459001</v>
      </c>
      <c r="F174">
        <v>0.92646385421925803</v>
      </c>
      <c r="G174">
        <v>0.974086815625404</v>
      </c>
      <c r="H174">
        <v>0.84858340475994798</v>
      </c>
      <c r="I174">
        <v>0.93393136000187904</v>
      </c>
      <c r="J174">
        <v>1.2110040038042</v>
      </c>
      <c r="K174">
        <v>0.98073242611748401</v>
      </c>
      <c r="L174">
        <v>1606.5249061280599</v>
      </c>
      <c r="M174">
        <v>24.0025686558185</v>
      </c>
      <c r="O174">
        <v>66.471976169880094</v>
      </c>
      <c r="P174">
        <v>6.3863251068590199E-3</v>
      </c>
      <c r="Q174">
        <v>1.0707432552949101</v>
      </c>
      <c r="R174">
        <v>-8.5654334946631702E-2</v>
      </c>
      <c r="S174" t="s">
        <v>2048</v>
      </c>
      <c r="T174" t="s">
        <v>3746</v>
      </c>
      <c r="U174" t="s">
        <v>3746</v>
      </c>
      <c r="V174" t="s">
        <v>3746</v>
      </c>
      <c r="W174" t="s">
        <v>3918</v>
      </c>
      <c r="X174">
        <v>3</v>
      </c>
      <c r="Y174" t="s">
        <v>5775</v>
      </c>
      <c r="Z174" t="s">
        <v>7562</v>
      </c>
      <c r="AA174">
        <v>1.008702047353935</v>
      </c>
      <c r="AB174" t="str">
        <f>HYPERLINK("Melting_Curves/meltCurve_D0FY33_BTN3A3.pdf", "Melting_Curves/meltCurve_D0FY33_BTN3A3.pdf")</f>
        <v>Melting_Curves/meltCurve_D0FY33_BTN3A3.pdf</v>
      </c>
    </row>
    <row r="175" spans="1:28" x14ac:dyDescent="0.25">
      <c r="A175" t="s">
        <v>179</v>
      </c>
      <c r="B175">
        <v>1</v>
      </c>
      <c r="C175">
        <v>1.3824481865285001</v>
      </c>
      <c r="D175">
        <v>1.73140266469282</v>
      </c>
      <c r="E175">
        <v>1.67378330866025</v>
      </c>
      <c r="F175">
        <v>1.24537379718727</v>
      </c>
      <c r="G175">
        <v>1.7341783863804601</v>
      </c>
      <c r="H175">
        <v>1.0711278682457399</v>
      </c>
      <c r="I175">
        <v>2.5198926720947399</v>
      </c>
      <c r="J175">
        <v>1.2428525166543301</v>
      </c>
      <c r="K175">
        <v>1.13568652849741</v>
      </c>
      <c r="L175">
        <v>9.9104633451489104</v>
      </c>
      <c r="M175">
        <v>18.837865039363901</v>
      </c>
      <c r="Q175">
        <v>1.4736745182298601</v>
      </c>
      <c r="R175">
        <v>1.0774559022763701E-10</v>
      </c>
      <c r="S175" t="s">
        <v>2049</v>
      </c>
      <c r="T175" t="s">
        <v>3746</v>
      </c>
      <c r="U175" t="s">
        <v>3746</v>
      </c>
      <c r="V175" t="s">
        <v>3746</v>
      </c>
      <c r="W175" t="s">
        <v>3919</v>
      </c>
      <c r="X175">
        <v>1</v>
      </c>
      <c r="Y175" t="s">
        <v>5776</v>
      </c>
      <c r="Z175" t="s">
        <v>7563</v>
      </c>
      <c r="AA175">
        <v>1.4736745144733641</v>
      </c>
      <c r="AB175" t="str">
        <f>HYPERLINK("Melting_Curves/meltCurve_D3DQ64_AK4.pdf", "Melting_Curves/meltCurve_D3DQ64_AK4.pdf")</f>
        <v>Melting_Curves/meltCurve_D3DQ64_AK4.pdf</v>
      </c>
    </row>
    <row r="176" spans="1:28" x14ac:dyDescent="0.25">
      <c r="A176" t="s">
        <v>180</v>
      </c>
      <c r="B176">
        <v>1</v>
      </c>
      <c r="C176">
        <v>1.03445090976263</v>
      </c>
      <c r="D176">
        <v>1.6693451556294401</v>
      </c>
      <c r="E176">
        <v>2.2763923524521998</v>
      </c>
      <c r="F176">
        <v>1.3006834764939501</v>
      </c>
      <c r="G176">
        <v>1.5397155259998201</v>
      </c>
      <c r="H176">
        <v>1.0228595178719899</v>
      </c>
      <c r="I176">
        <v>1.60986422831809</v>
      </c>
      <c r="J176">
        <v>1.5245220282626799</v>
      </c>
      <c r="K176">
        <v>1.4350235522305299</v>
      </c>
      <c r="L176">
        <v>10836.6961647305</v>
      </c>
      <c r="M176">
        <v>250</v>
      </c>
      <c r="O176">
        <v>43.344011882787697</v>
      </c>
      <c r="P176">
        <v>0.72097619703325699</v>
      </c>
      <c r="Q176">
        <v>1.5</v>
      </c>
      <c r="R176">
        <v>0.32029241274437797</v>
      </c>
      <c r="S176" t="s">
        <v>2050</v>
      </c>
      <c r="T176" t="s">
        <v>3746</v>
      </c>
      <c r="U176" t="s">
        <v>3746</v>
      </c>
      <c r="V176" t="s">
        <v>3746</v>
      </c>
      <c r="W176" t="s">
        <v>3920</v>
      </c>
      <c r="X176">
        <v>1</v>
      </c>
      <c r="Y176" t="s">
        <v>5777</v>
      </c>
      <c r="Z176" t="s">
        <v>7564</v>
      </c>
      <c r="AA176">
        <v>1.444182219216402</v>
      </c>
      <c r="AB176" t="str">
        <f>HYPERLINK("Melting_Curves/meltCurve_D6R907_EPN3.pdf", "Melting_Curves/meltCurve_D6R907_EPN3.pdf")</f>
        <v>Melting_Curves/meltCurve_D6R907_EPN3.pdf</v>
      </c>
    </row>
    <row r="177" spans="1:28" x14ac:dyDescent="0.25">
      <c r="A177" t="s">
        <v>181</v>
      </c>
      <c r="B177">
        <v>1</v>
      </c>
      <c r="C177">
        <v>1.3425802436205201</v>
      </c>
      <c r="D177">
        <v>1.76615986485285</v>
      </c>
      <c r="E177">
        <v>2.43593847248155</v>
      </c>
      <c r="F177">
        <v>2.1038499155330301</v>
      </c>
      <c r="G177">
        <v>1.8162176580421401</v>
      </c>
      <c r="H177">
        <v>1.3225749088645899</v>
      </c>
      <c r="I177">
        <v>2.38170178714324</v>
      </c>
      <c r="J177">
        <v>2.5833555614830601</v>
      </c>
      <c r="K177">
        <v>2.3408019916422198</v>
      </c>
      <c r="S177" t="s">
        <v>2051</v>
      </c>
      <c r="T177" t="s">
        <v>3746</v>
      </c>
      <c r="U177" t="s">
        <v>3747</v>
      </c>
      <c r="V177" t="s">
        <v>3746</v>
      </c>
      <c r="W177" t="s">
        <v>3921</v>
      </c>
      <c r="X177">
        <v>1</v>
      </c>
      <c r="Y177" t="s">
        <v>5778</v>
      </c>
      <c r="Z177" t="s">
        <v>7565</v>
      </c>
      <c r="AB177" t="str">
        <f>HYPERLINK("Melting_Curves/meltCurve_D6R997_COPB2.pdf", "Melting_Curves/meltCurve_D6R997_COPB2.pdf")</f>
        <v>Melting_Curves/meltCurve_D6R997_COPB2.pdf</v>
      </c>
    </row>
    <row r="178" spans="1:28" x14ac:dyDescent="0.25">
      <c r="A178" t="s">
        <v>182</v>
      </c>
      <c r="B178">
        <v>1</v>
      </c>
      <c r="C178">
        <v>1.1500414271008601</v>
      </c>
      <c r="D178">
        <v>1.3550177006703701</v>
      </c>
      <c r="E178">
        <v>1.57829722061814</v>
      </c>
      <c r="F178">
        <v>1.31682944588114</v>
      </c>
      <c r="G178">
        <v>1.4519320093399299</v>
      </c>
      <c r="H178">
        <v>0.87524165808832799</v>
      </c>
      <c r="I178">
        <v>1.26982851690979</v>
      </c>
      <c r="J178">
        <v>1.3418614577318</v>
      </c>
      <c r="K178">
        <v>1.13989806422456</v>
      </c>
      <c r="L178">
        <v>10722.3555421727</v>
      </c>
      <c r="M178">
        <v>250</v>
      </c>
      <c r="O178">
        <v>42.886677543801603</v>
      </c>
      <c r="P178">
        <v>0.42424780386067301</v>
      </c>
      <c r="Q178">
        <v>1.29111325977154</v>
      </c>
      <c r="R178">
        <v>0.21606105491116201</v>
      </c>
      <c r="S178" t="s">
        <v>2052</v>
      </c>
      <c r="T178" t="s">
        <v>3746</v>
      </c>
      <c r="U178" t="s">
        <v>3746</v>
      </c>
      <c r="V178" t="s">
        <v>3746</v>
      </c>
      <c r="W178" t="s">
        <v>3922</v>
      </c>
      <c r="X178">
        <v>1</v>
      </c>
      <c r="Y178" t="s">
        <v>5779</v>
      </c>
      <c r="Z178" t="s">
        <v>7566</v>
      </c>
      <c r="AA178">
        <v>1.2630530440315799</v>
      </c>
      <c r="AB178" t="str">
        <f>HYPERLINK("Melting_Curves/meltCurve_D6R9B6_RPS3A.pdf", "Melting_Curves/meltCurve_D6R9B6_RPS3A.pdf")</f>
        <v>Melting_Curves/meltCurve_D6R9B6_RPS3A.pdf</v>
      </c>
    </row>
    <row r="179" spans="1:28" x14ac:dyDescent="0.25">
      <c r="A179" t="s">
        <v>183</v>
      </c>
      <c r="B179">
        <v>1</v>
      </c>
      <c r="C179">
        <v>1.11066598294981</v>
      </c>
      <c r="D179">
        <v>1.8794628549451999</v>
      </c>
      <c r="E179">
        <v>2.2704313826036802</v>
      </c>
      <c r="F179">
        <v>1.88943016473303</v>
      </c>
      <c r="G179">
        <v>2.1302160117941198</v>
      </c>
      <c r="H179">
        <v>1.5095827190564699</v>
      </c>
      <c r="I179">
        <v>2.6610153195307999</v>
      </c>
      <c r="J179">
        <v>2.7520671751810801</v>
      </c>
      <c r="K179">
        <v>2.2681238382154998</v>
      </c>
      <c r="L179">
        <v>10778.9646571516</v>
      </c>
      <c r="M179">
        <v>250</v>
      </c>
      <c r="O179">
        <v>43.113099515608504</v>
      </c>
      <c r="P179">
        <v>0.72483770360545696</v>
      </c>
      <c r="Q179">
        <v>1.5</v>
      </c>
      <c r="R179">
        <v>-0.50001217450258395</v>
      </c>
      <c r="S179" t="s">
        <v>2053</v>
      </c>
      <c r="T179" t="s">
        <v>3746</v>
      </c>
      <c r="U179" t="s">
        <v>3746</v>
      </c>
      <c r="V179" t="s">
        <v>3746</v>
      </c>
      <c r="W179" t="s">
        <v>3923</v>
      </c>
      <c r="X179">
        <v>1</v>
      </c>
      <c r="Y179" t="s">
        <v>5780</v>
      </c>
      <c r="Z179" t="s">
        <v>7567</v>
      </c>
      <c r="AA179">
        <v>1.4480311890175639</v>
      </c>
      <c r="AB179" t="str">
        <f>HYPERLINK("Melting_Curves/meltCurve_D6R9P2_SLC9B2.pdf", "Melting_Curves/meltCurve_D6R9P2_SLC9B2.pdf")</f>
        <v>Melting_Curves/meltCurve_D6R9P2_SLC9B2.pdf</v>
      </c>
    </row>
    <row r="180" spans="1:28" x14ac:dyDescent="0.25">
      <c r="A180" t="s">
        <v>184</v>
      </c>
      <c r="B180">
        <v>1</v>
      </c>
      <c r="C180">
        <v>1.09938405614177</v>
      </c>
      <c r="D180">
        <v>1.4573130711364699</v>
      </c>
      <c r="E180">
        <v>2.0082546574443398</v>
      </c>
      <c r="F180">
        <v>1.4728883727975</v>
      </c>
      <c r="G180">
        <v>1.62500631090019</v>
      </c>
      <c r="H180">
        <v>0.66948553541677203</v>
      </c>
      <c r="I180">
        <v>1.6221032968142599</v>
      </c>
      <c r="J180">
        <v>1.6292977230272101</v>
      </c>
      <c r="K180">
        <v>1.40437724036957</v>
      </c>
      <c r="L180">
        <v>2808.96219391055</v>
      </c>
      <c r="M180">
        <v>64.093829469276599</v>
      </c>
      <c r="O180">
        <v>43.783162718478501</v>
      </c>
      <c r="P180">
        <v>0.178958960220964</v>
      </c>
      <c r="Q180">
        <v>1.4889949341568101</v>
      </c>
      <c r="R180">
        <v>0.23595596666712901</v>
      </c>
      <c r="S180" t="s">
        <v>2054</v>
      </c>
      <c r="T180" t="s">
        <v>3746</v>
      </c>
      <c r="U180" t="s">
        <v>3746</v>
      </c>
      <c r="V180" t="s">
        <v>3746</v>
      </c>
      <c r="W180" t="s">
        <v>3924</v>
      </c>
      <c r="X180">
        <v>2</v>
      </c>
      <c r="Y180" t="s">
        <v>5781</v>
      </c>
      <c r="Z180" t="s">
        <v>7568</v>
      </c>
      <c r="AA180">
        <v>1.426041682757587</v>
      </c>
      <c r="AB180" t="str">
        <f>HYPERLINK("Melting_Curves/meltCurve_D6R9S9_NAAA.pdf", "Melting_Curves/meltCurve_D6R9S9_NAAA.pdf")</f>
        <v>Melting_Curves/meltCurve_D6R9S9_NAAA.pdf</v>
      </c>
    </row>
    <row r="181" spans="1:28" x14ac:dyDescent="0.25">
      <c r="A181" t="s">
        <v>185</v>
      </c>
      <c r="B181">
        <v>1</v>
      </c>
      <c r="C181">
        <v>1.1554285714285699</v>
      </c>
      <c r="D181">
        <v>1.67904761904762</v>
      </c>
      <c r="E181">
        <v>2.5850476190476201</v>
      </c>
      <c r="F181">
        <v>2.5266666666666699</v>
      </c>
      <c r="G181">
        <v>3.1845714285714299</v>
      </c>
      <c r="H181">
        <v>1.99885714285714</v>
      </c>
      <c r="I181">
        <v>3.56</v>
      </c>
      <c r="J181">
        <v>3.5947619047619002</v>
      </c>
      <c r="K181">
        <v>2.9972380952380999</v>
      </c>
      <c r="L181">
        <v>10759.1533108739</v>
      </c>
      <c r="M181">
        <v>250</v>
      </c>
      <c r="O181">
        <v>43.033848748906202</v>
      </c>
      <c r="P181">
        <v>0.72617238144984897</v>
      </c>
      <c r="Q181">
        <v>1.5</v>
      </c>
      <c r="R181">
        <v>-1.0336970970824</v>
      </c>
      <c r="S181" t="s">
        <v>2055</v>
      </c>
      <c r="T181" t="s">
        <v>3746</v>
      </c>
      <c r="U181" t="s">
        <v>3746</v>
      </c>
      <c r="V181" t="s">
        <v>3746</v>
      </c>
      <c r="W181" t="s">
        <v>3925</v>
      </c>
      <c r="X181">
        <v>2</v>
      </c>
      <c r="Y181" t="s">
        <v>5782</v>
      </c>
      <c r="Z181" t="s">
        <v>7569</v>
      </c>
      <c r="AA181">
        <v>1.4493520149677721</v>
      </c>
      <c r="AB181" t="str">
        <f>HYPERLINK("Melting_Curves/meltCurve_D6RA00_ENOPH1.pdf", "Melting_Curves/meltCurve_D6RA00_ENOPH1.pdf")</f>
        <v>Melting_Curves/meltCurve_D6RA00_ENOPH1.pdf</v>
      </c>
    </row>
    <row r="182" spans="1:28" x14ac:dyDescent="0.25">
      <c r="A182" t="s">
        <v>186</v>
      </c>
      <c r="B182">
        <v>1</v>
      </c>
      <c r="C182">
        <v>1.1891061050002401</v>
      </c>
      <c r="D182">
        <v>1.8841763133035501</v>
      </c>
      <c r="E182">
        <v>3.1469651119970501</v>
      </c>
      <c r="F182">
        <v>2.5616023824391201</v>
      </c>
      <c r="G182">
        <v>3.41723105496582</v>
      </c>
      <c r="H182">
        <v>1.8785724578509999</v>
      </c>
      <c r="I182">
        <v>3.29842931937173</v>
      </c>
      <c r="J182">
        <v>2.8469186800518802</v>
      </c>
      <c r="K182">
        <v>2.7277967241462102</v>
      </c>
      <c r="S182" t="s">
        <v>2056</v>
      </c>
      <c r="T182" t="s">
        <v>3746</v>
      </c>
      <c r="U182" t="s">
        <v>3747</v>
      </c>
      <c r="V182" t="s">
        <v>3746</v>
      </c>
      <c r="W182" t="s">
        <v>3926</v>
      </c>
      <c r="X182">
        <v>2</v>
      </c>
      <c r="Y182" t="s">
        <v>5783</v>
      </c>
      <c r="Z182" t="s">
        <v>7570</v>
      </c>
      <c r="AB182" t="str">
        <f>HYPERLINK("Melting_Curves/meltCurve_D6RAX7_COPS4.pdf", "Melting_Curves/meltCurve_D6RAX7_COPS4.pdf")</f>
        <v>Melting_Curves/meltCurve_D6RAX7_COPS4.pdf</v>
      </c>
    </row>
    <row r="183" spans="1:28" x14ac:dyDescent="0.25">
      <c r="A183" t="s">
        <v>187</v>
      </c>
      <c r="B183">
        <v>1</v>
      </c>
      <c r="C183">
        <v>0.96878462857262304</v>
      </c>
      <c r="D183">
        <v>1.4415940120010899</v>
      </c>
      <c r="E183">
        <v>2.0514750465198901</v>
      </c>
      <c r="F183">
        <v>1.7806142716761799</v>
      </c>
      <c r="G183">
        <v>2.0645424324154802</v>
      </c>
      <c r="H183">
        <v>1.0682849317359799</v>
      </c>
      <c r="I183">
        <v>1.6598716260009601</v>
      </c>
      <c r="J183">
        <v>1.58658972589851</v>
      </c>
      <c r="K183">
        <v>1.3358004557904199</v>
      </c>
      <c r="L183">
        <v>11406.943299197899</v>
      </c>
      <c r="M183">
        <v>250</v>
      </c>
      <c r="O183">
        <v>45.624853327871897</v>
      </c>
      <c r="P183">
        <v>0.68493370961908295</v>
      </c>
      <c r="Q183">
        <v>1.5</v>
      </c>
      <c r="R183">
        <v>0.36028620579820297</v>
      </c>
      <c r="S183" t="s">
        <v>2057</v>
      </c>
      <c r="T183" t="s">
        <v>3746</v>
      </c>
      <c r="U183" t="s">
        <v>3746</v>
      </c>
      <c r="V183" t="s">
        <v>3746</v>
      </c>
      <c r="W183" t="s">
        <v>3927</v>
      </c>
      <c r="X183">
        <v>2</v>
      </c>
      <c r="Y183" t="s">
        <v>5784</v>
      </c>
      <c r="Z183" t="s">
        <v>7571</v>
      </c>
      <c r="AA183">
        <v>1.4061637420375559</v>
      </c>
      <c r="AB183" t="str">
        <f>HYPERLINK("Melting_Curves/meltCurve_D6RBV2_LMAN2.pdf", "Melting_Curves/meltCurve_D6RBV2_LMAN2.pdf")</f>
        <v>Melting_Curves/meltCurve_D6RBV2_LMAN2.pdf</v>
      </c>
    </row>
    <row r="184" spans="1:28" x14ac:dyDescent="0.25">
      <c r="A184" t="s">
        <v>188</v>
      </c>
      <c r="B184">
        <v>1</v>
      </c>
      <c r="C184">
        <v>0.99342537804076303</v>
      </c>
      <c r="D184">
        <v>1.58683197144736</v>
      </c>
      <c r="E184">
        <v>2.0783319244857701</v>
      </c>
      <c r="F184">
        <v>1.5795998872921999</v>
      </c>
      <c r="G184">
        <v>1.8601483986099401</v>
      </c>
      <c r="H184">
        <v>1.22475814783507</v>
      </c>
      <c r="I184">
        <v>1.9033530571992101</v>
      </c>
      <c r="J184">
        <v>1.9542594157978801</v>
      </c>
      <c r="K184">
        <v>1.87160702545318</v>
      </c>
      <c r="L184">
        <v>11044.182772804201</v>
      </c>
      <c r="M184">
        <v>250</v>
      </c>
      <c r="O184">
        <v>44.173903773404398</v>
      </c>
      <c r="P184">
        <v>0.70743124684311798</v>
      </c>
      <c r="Q184">
        <v>1.5</v>
      </c>
      <c r="R184">
        <v>0.271706700710382</v>
      </c>
      <c r="S184" t="s">
        <v>2058</v>
      </c>
      <c r="T184" t="s">
        <v>3746</v>
      </c>
      <c r="U184" t="s">
        <v>3746</v>
      </c>
      <c r="V184" t="s">
        <v>3746</v>
      </c>
      <c r="W184" t="s">
        <v>3928</v>
      </c>
      <c r="X184">
        <v>2</v>
      </c>
      <c r="Y184" t="s">
        <v>5785</v>
      </c>
      <c r="Z184" t="s">
        <v>7572</v>
      </c>
      <c r="AA184">
        <v>1.4303490504086089</v>
      </c>
      <c r="AB184" t="str">
        <f>HYPERLINK("Melting_Curves/meltCurve_D6RBW1_EIF4E.pdf", "Melting_Curves/meltCurve_D6RBW1_EIF4E.pdf")</f>
        <v>Melting_Curves/meltCurve_D6RBW1_EIF4E.pdf</v>
      </c>
    </row>
    <row r="185" spans="1:28" x14ac:dyDescent="0.25">
      <c r="A185" t="s">
        <v>189</v>
      </c>
      <c r="B185">
        <v>1</v>
      </c>
      <c r="C185">
        <v>0.94561248459194802</v>
      </c>
      <c r="D185">
        <v>1.0256878386864201</v>
      </c>
      <c r="E185">
        <v>1.3135800172105001</v>
      </c>
      <c r="F185">
        <v>0.882073167895435</v>
      </c>
      <c r="G185">
        <v>1.06710933320929</v>
      </c>
      <c r="H185">
        <v>0.62270623531874303</v>
      </c>
      <c r="I185">
        <v>0.99570900295369402</v>
      </c>
      <c r="J185">
        <v>0.93550712840430705</v>
      </c>
      <c r="K185">
        <v>0.81758029629974205</v>
      </c>
      <c r="L185">
        <v>4170.2970526951003</v>
      </c>
      <c r="M185">
        <v>71.321540463592697</v>
      </c>
      <c r="O185">
        <v>58.425876625619303</v>
      </c>
      <c r="P185">
        <v>-4.6860563841686999E-2</v>
      </c>
      <c r="Q185">
        <v>0.84644930847510802</v>
      </c>
      <c r="R185">
        <v>0.26895621158796901</v>
      </c>
      <c r="S185" t="s">
        <v>2059</v>
      </c>
      <c r="T185" t="s">
        <v>3746</v>
      </c>
      <c r="U185" t="s">
        <v>3746</v>
      </c>
      <c r="V185" t="s">
        <v>3746</v>
      </c>
      <c r="W185" t="s">
        <v>3929</v>
      </c>
      <c r="X185">
        <v>2</v>
      </c>
      <c r="Y185" t="s">
        <v>5786</v>
      </c>
      <c r="Z185" t="s">
        <v>7573</v>
      </c>
      <c r="AA185">
        <v>0.94118847390130767</v>
      </c>
      <c r="AB185" t="str">
        <f>HYPERLINK("Melting_Curves/meltCurve_D6RC73_CCL28.pdf", "Melting_Curves/meltCurve_D6RC73_CCL28.pdf")</f>
        <v>Melting_Curves/meltCurve_D6RC73_CCL28.pdf</v>
      </c>
    </row>
    <row r="186" spans="1:28" x14ac:dyDescent="0.25">
      <c r="A186" t="s">
        <v>190</v>
      </c>
      <c r="B186">
        <v>1</v>
      </c>
      <c r="C186">
        <v>1.0387969924811999</v>
      </c>
      <c r="D186">
        <v>1.6445864661654099</v>
      </c>
      <c r="E186">
        <v>2.2017293233082702</v>
      </c>
      <c r="F186">
        <v>0.95548872180451105</v>
      </c>
      <c r="G186">
        <v>1.70774436090226</v>
      </c>
      <c r="H186">
        <v>0.343984962406015</v>
      </c>
      <c r="I186">
        <v>2.0143609022556399</v>
      </c>
      <c r="J186">
        <v>1.7089473684210501</v>
      </c>
      <c r="K186">
        <v>1.82225563909774</v>
      </c>
      <c r="L186">
        <v>1.0000000000000001E-5</v>
      </c>
      <c r="M186">
        <v>19.280551479752599</v>
      </c>
      <c r="Q186">
        <v>1.4437894764431101</v>
      </c>
      <c r="R186">
        <v>1.11022302462516E-16</v>
      </c>
      <c r="S186" t="s">
        <v>2060</v>
      </c>
      <c r="T186" t="s">
        <v>3746</v>
      </c>
      <c r="U186" t="s">
        <v>3746</v>
      </c>
      <c r="V186" t="s">
        <v>3746</v>
      </c>
      <c r="W186" t="s">
        <v>3930</v>
      </c>
      <c r="X186">
        <v>1</v>
      </c>
      <c r="Y186" t="s">
        <v>5787</v>
      </c>
      <c r="Z186" t="s">
        <v>7574</v>
      </c>
      <c r="AA186">
        <v>1.443789474564918</v>
      </c>
      <c r="AB186" t="str">
        <f>HYPERLINK("Melting_Curves/meltCurve_D6RD47_RPS23.pdf", "Melting_Curves/meltCurve_D6RD47_RPS23.pdf")</f>
        <v>Melting_Curves/meltCurve_D6RD47_RPS23.pdf</v>
      </c>
    </row>
    <row r="187" spans="1:28" x14ac:dyDescent="0.25">
      <c r="A187" t="s">
        <v>191</v>
      </c>
      <c r="B187">
        <v>1</v>
      </c>
      <c r="C187">
        <v>0.99182607468059603</v>
      </c>
      <c r="D187">
        <v>1.30940919037199</v>
      </c>
      <c r="E187">
        <v>1.5713983200395301</v>
      </c>
      <c r="F187">
        <v>1.27147596527141</v>
      </c>
      <c r="G187">
        <v>1.4803416390202599</v>
      </c>
      <c r="H187">
        <v>0.90030352227006405</v>
      </c>
      <c r="I187">
        <v>1.3779628714618499</v>
      </c>
      <c r="J187">
        <v>1.44349544716595</v>
      </c>
      <c r="K187">
        <v>1.2845909508011599</v>
      </c>
      <c r="L187">
        <v>11381.204494158501</v>
      </c>
      <c r="M187">
        <v>250</v>
      </c>
      <c r="O187">
        <v>45.5219047078335</v>
      </c>
      <c r="P187">
        <v>0.45691675416900401</v>
      </c>
      <c r="Q187">
        <v>1.33279553456442</v>
      </c>
      <c r="R187">
        <v>0.38464036242849498</v>
      </c>
      <c r="S187" t="s">
        <v>2061</v>
      </c>
      <c r="T187" t="s">
        <v>3746</v>
      </c>
      <c r="U187" t="s">
        <v>3746</v>
      </c>
      <c r="V187" t="s">
        <v>3746</v>
      </c>
      <c r="W187" t="s">
        <v>3931</v>
      </c>
      <c r="X187">
        <v>1</v>
      </c>
      <c r="Y187" t="s">
        <v>5788</v>
      </c>
      <c r="Z187" t="s">
        <v>7575</v>
      </c>
      <c r="AA187">
        <v>1.271481120686198</v>
      </c>
      <c r="AB187" t="str">
        <f>HYPERLINK("Melting_Curves/meltCurve_D6RD83_HNRNPD.pdf", "Melting_Curves/meltCurve_D6RD83_HNRNPD.pdf")</f>
        <v>Melting_Curves/meltCurve_D6RD83_HNRNPD.pdf</v>
      </c>
    </row>
    <row r="188" spans="1:28" x14ac:dyDescent="0.25">
      <c r="A188" t="s">
        <v>192</v>
      </c>
      <c r="B188">
        <v>1</v>
      </c>
      <c r="C188">
        <v>0.971306267139322</v>
      </c>
      <c r="D188">
        <v>1.3379038191425301</v>
      </c>
      <c r="E188">
        <v>1.71821282857334</v>
      </c>
      <c r="F188">
        <v>1.7681091565781599</v>
      </c>
      <c r="G188">
        <v>2.1661427329275602</v>
      </c>
      <c r="H188">
        <v>1.50538425523376</v>
      </c>
      <c r="I188">
        <v>2.05645107350679</v>
      </c>
      <c r="J188">
        <v>2.0977861012641301</v>
      </c>
      <c r="K188">
        <v>1.8404788977325901</v>
      </c>
      <c r="L188">
        <v>11466.2097157587</v>
      </c>
      <c r="M188">
        <v>250</v>
      </c>
      <c r="O188">
        <v>45.861904005952397</v>
      </c>
      <c r="P188">
        <v>0.681393431919739</v>
      </c>
      <c r="Q188">
        <v>1.5</v>
      </c>
      <c r="R188">
        <v>0.202150243365875</v>
      </c>
      <c r="S188" t="s">
        <v>2062</v>
      </c>
      <c r="T188" t="s">
        <v>3746</v>
      </c>
      <c r="U188" t="s">
        <v>3746</v>
      </c>
      <c r="V188" t="s">
        <v>3746</v>
      </c>
      <c r="W188" t="s">
        <v>3932</v>
      </c>
      <c r="X188">
        <v>3</v>
      </c>
      <c r="Y188" t="s">
        <v>5789</v>
      </c>
      <c r="Z188" t="s">
        <v>7576</v>
      </c>
      <c r="AA188">
        <v>1.402212439576892</v>
      </c>
      <c r="AB188" t="str">
        <f>HYPERLINK("Melting_Curves/meltCurve_D6RDM7_UBE2K.pdf", "Melting_Curves/meltCurve_D6RDM7_UBE2K.pdf")</f>
        <v>Melting_Curves/meltCurve_D6RDM7_UBE2K.pdf</v>
      </c>
    </row>
    <row r="189" spans="1:28" x14ac:dyDescent="0.25">
      <c r="A189" t="s">
        <v>193</v>
      </c>
      <c r="B189">
        <v>1</v>
      </c>
      <c r="C189">
        <v>1.2407603975682699</v>
      </c>
      <c r="D189">
        <v>2.3991122261893301</v>
      </c>
      <c r="E189">
        <v>3.3931294026826202</v>
      </c>
      <c r="F189">
        <v>1.5817813374505501</v>
      </c>
      <c r="G189">
        <v>2.3175721316221201</v>
      </c>
      <c r="H189">
        <v>1.5050661005500301</v>
      </c>
      <c r="I189">
        <v>2.7186143008781198</v>
      </c>
      <c r="J189">
        <v>2.5503232654636698</v>
      </c>
      <c r="K189">
        <v>1.9604361671330699</v>
      </c>
      <c r="L189">
        <v>10728.172416945299</v>
      </c>
      <c r="M189">
        <v>250</v>
      </c>
      <c r="O189">
        <v>42.909943550896699</v>
      </c>
      <c r="P189">
        <v>0.72826942797762795</v>
      </c>
      <c r="Q189">
        <v>1.5</v>
      </c>
      <c r="R189">
        <v>-0.58187927919751203</v>
      </c>
      <c r="S189" t="s">
        <v>2063</v>
      </c>
      <c r="T189" t="s">
        <v>3746</v>
      </c>
      <c r="U189" t="s">
        <v>3746</v>
      </c>
      <c r="V189" t="s">
        <v>3746</v>
      </c>
      <c r="W189" t="s">
        <v>3933</v>
      </c>
      <c r="X189">
        <v>1</v>
      </c>
      <c r="Y189" t="s">
        <v>5790</v>
      </c>
      <c r="Z189" t="s">
        <v>7577</v>
      </c>
      <c r="AA189">
        <v>1.451417516621764</v>
      </c>
      <c r="AB189" t="str">
        <f>HYPERLINK("Melting_Curves/meltCurve_D6RDP1_SEPT11.pdf", "Melting_Curves/meltCurve_D6RDP1_SEPT11.pdf")</f>
        <v>Melting_Curves/meltCurve_D6RDP1_SEPT11.pdf</v>
      </c>
    </row>
    <row r="190" spans="1:28" x14ac:dyDescent="0.25">
      <c r="A190" t="s">
        <v>194</v>
      </c>
      <c r="B190">
        <v>1</v>
      </c>
      <c r="C190">
        <v>0.97953174985137204</v>
      </c>
      <c r="D190">
        <v>1.33715992412875</v>
      </c>
      <c r="E190">
        <v>2.2987854938708501</v>
      </c>
      <c r="F190">
        <v>2.6516717153129701</v>
      </c>
      <c r="G190">
        <v>3.63318517679699</v>
      </c>
      <c r="H190">
        <v>2.1609149845709599</v>
      </c>
      <c r="I190">
        <v>3.3611244798006998</v>
      </c>
      <c r="J190">
        <v>3.5897290717096499</v>
      </c>
      <c r="K190">
        <v>3.0644339382272201</v>
      </c>
      <c r="L190">
        <v>11466.521715945</v>
      </c>
      <c r="M190">
        <v>250</v>
      </c>
      <c r="O190">
        <v>45.863152051375799</v>
      </c>
      <c r="P190">
        <v>0.68137489143410201</v>
      </c>
      <c r="Q190">
        <v>1.5</v>
      </c>
      <c r="R190">
        <v>-0.80631150067896495</v>
      </c>
      <c r="S190" t="s">
        <v>2064</v>
      </c>
      <c r="T190" t="s">
        <v>3746</v>
      </c>
      <c r="U190" t="s">
        <v>3746</v>
      </c>
      <c r="V190" t="s">
        <v>3746</v>
      </c>
      <c r="W190" t="s">
        <v>3934</v>
      </c>
      <c r="X190">
        <v>2</v>
      </c>
      <c r="Y190" t="s">
        <v>5791</v>
      </c>
      <c r="Z190" t="s">
        <v>7578</v>
      </c>
      <c r="AA190">
        <v>1.4021916384693609</v>
      </c>
      <c r="AB190" t="str">
        <f>HYPERLINK("Melting_Curves/meltCurve_D6REB4_PAIP1.pdf", "Melting_Curves/meltCurve_D6REB4_PAIP1.pdf")</f>
        <v>Melting_Curves/meltCurve_D6REB4_PAIP1.pdf</v>
      </c>
    </row>
    <row r="191" spans="1:28" x14ac:dyDescent="0.25">
      <c r="A191" t="s">
        <v>195</v>
      </c>
      <c r="B191">
        <v>1</v>
      </c>
      <c r="C191">
        <v>0.92960374983724703</v>
      </c>
      <c r="D191">
        <v>1.30662731652272</v>
      </c>
      <c r="E191">
        <v>1.4718979210971701</v>
      </c>
      <c r="F191">
        <v>1.1547675882123201</v>
      </c>
      <c r="G191">
        <v>1.5545332233844</v>
      </c>
      <c r="H191">
        <v>1.3677357753569701</v>
      </c>
      <c r="I191">
        <v>2.6858643288051698</v>
      </c>
      <c r="J191">
        <v>3.00690074215529</v>
      </c>
      <c r="K191">
        <v>2.66260144958986</v>
      </c>
      <c r="S191" t="s">
        <v>2065</v>
      </c>
      <c r="T191" t="s">
        <v>3746</v>
      </c>
      <c r="U191" t="s">
        <v>3747</v>
      </c>
      <c r="V191" t="s">
        <v>3746</v>
      </c>
      <c r="W191" t="s">
        <v>3935</v>
      </c>
      <c r="X191">
        <v>8</v>
      </c>
      <c r="Y191" t="s">
        <v>5792</v>
      </c>
      <c r="Z191" t="s">
        <v>7579</v>
      </c>
      <c r="AB191" t="str">
        <f>HYPERLINK("Melting_Curves/meltCurve_D6REB5_IDUA.pdf", "Melting_Curves/meltCurve_D6REB5_IDUA.pdf")</f>
        <v>Melting_Curves/meltCurve_D6REB5_IDUA.pdf</v>
      </c>
    </row>
    <row r="192" spans="1:28" x14ac:dyDescent="0.25">
      <c r="A192" t="s">
        <v>196</v>
      </c>
      <c r="B192">
        <v>1</v>
      </c>
      <c r="C192">
        <v>1.0807031174128401</v>
      </c>
      <c r="D192">
        <v>1.2901816062931</v>
      </c>
      <c r="E192">
        <v>1.24414878119841</v>
      </c>
      <c r="F192">
        <v>1.27464309993202</v>
      </c>
      <c r="G192">
        <v>1.7777993590366099</v>
      </c>
      <c r="H192">
        <v>0.59186170729338605</v>
      </c>
      <c r="I192">
        <v>1.05137418665631</v>
      </c>
      <c r="J192">
        <v>1.0780809944644101</v>
      </c>
      <c r="K192">
        <v>1.0676896183354401</v>
      </c>
      <c r="L192">
        <v>10730.2782753054</v>
      </c>
      <c r="M192">
        <v>250</v>
      </c>
      <c r="O192">
        <v>42.918366450925099</v>
      </c>
      <c r="P192">
        <v>0.25043535064570699</v>
      </c>
      <c r="Q192">
        <v>1.1719724181537601</v>
      </c>
      <c r="R192">
        <v>3.879202503477E-2</v>
      </c>
      <c r="S192" t="s">
        <v>2066</v>
      </c>
      <c r="T192" t="s">
        <v>3746</v>
      </c>
      <c r="U192" t="s">
        <v>3746</v>
      </c>
      <c r="V192" t="s">
        <v>3746</v>
      </c>
      <c r="W192" t="s">
        <v>3936</v>
      </c>
      <c r="X192">
        <v>1</v>
      </c>
      <c r="Y192" t="s">
        <v>5793</v>
      </c>
      <c r="Z192" t="s">
        <v>7580</v>
      </c>
      <c r="AA192">
        <v>1.1552144347118309</v>
      </c>
      <c r="AB192" t="str">
        <f>HYPERLINK("Melting_Curves/meltCurve_D6REE0_FAM153A.pdf", "Melting_Curves/meltCurve_D6REE0_FAM153A.pdf")</f>
        <v>Melting_Curves/meltCurve_D6REE0_FAM153A.pdf</v>
      </c>
    </row>
    <row r="193" spans="1:28" x14ac:dyDescent="0.25">
      <c r="A193" t="s">
        <v>197</v>
      </c>
      <c r="B193">
        <v>1</v>
      </c>
      <c r="C193">
        <v>1.04900032776139</v>
      </c>
      <c r="D193">
        <v>1.29678793838086</v>
      </c>
      <c r="E193">
        <v>1.47551622418879</v>
      </c>
      <c r="F193">
        <v>1.07043592264831</v>
      </c>
      <c r="G193">
        <v>1.07053425106522</v>
      </c>
      <c r="H193">
        <v>0.72671255326122597</v>
      </c>
      <c r="I193">
        <v>0.965847263192396</v>
      </c>
      <c r="J193">
        <v>1.0888888888888899</v>
      </c>
      <c r="K193">
        <v>0.96548672566371696</v>
      </c>
      <c r="L193">
        <v>10708.7190033514</v>
      </c>
      <c r="M193">
        <v>250</v>
      </c>
      <c r="O193">
        <v>42.832134466968498</v>
      </c>
      <c r="P193">
        <v>0.120421003383939</v>
      </c>
      <c r="Q193">
        <v>1.0825262184245801</v>
      </c>
      <c r="R193">
        <v>1.8239373132174198E-2</v>
      </c>
      <c r="S193" t="s">
        <v>2067</v>
      </c>
      <c r="T193" t="s">
        <v>3746</v>
      </c>
      <c r="U193" t="s">
        <v>3746</v>
      </c>
      <c r="V193" t="s">
        <v>3746</v>
      </c>
      <c r="W193" t="s">
        <v>3937</v>
      </c>
      <c r="X193">
        <v>6</v>
      </c>
      <c r="Y193" t="s">
        <v>5794</v>
      </c>
      <c r="Z193" t="s">
        <v>7581</v>
      </c>
      <c r="AA193">
        <v>1.074721627976142</v>
      </c>
      <c r="AB193" t="str">
        <f>HYPERLINK("Melting_Curves/meltCurve_D6REX5_SEPP1.pdf", "Melting_Curves/meltCurve_D6REX5_SEPP1.pdf")</f>
        <v>Melting_Curves/meltCurve_D6REX5_SEPP1.pdf</v>
      </c>
    </row>
    <row r="194" spans="1:28" x14ac:dyDescent="0.25">
      <c r="A194" t="s">
        <v>198</v>
      </c>
      <c r="B194">
        <v>1</v>
      </c>
      <c r="C194">
        <v>1.2354394805698199</v>
      </c>
      <c r="D194">
        <v>1.6251574764996599</v>
      </c>
      <c r="E194">
        <v>2.1954646768097699</v>
      </c>
      <c r="F194">
        <v>1.4561327001970501</v>
      </c>
      <c r="G194">
        <v>1.95561585424944</v>
      </c>
      <c r="H194">
        <v>1.09874987886423</v>
      </c>
      <c r="I194">
        <v>1.9078076040959999</v>
      </c>
      <c r="J194">
        <v>1.73757147010369</v>
      </c>
      <c r="K194">
        <v>1.68766353328811</v>
      </c>
      <c r="L194">
        <v>10730.0028245535</v>
      </c>
      <c r="M194">
        <v>250</v>
      </c>
      <c r="O194">
        <v>42.917264717755202</v>
      </c>
      <c r="P194">
        <v>0.72814519409590495</v>
      </c>
      <c r="Q194">
        <v>1.5</v>
      </c>
      <c r="R194">
        <v>0.17489792476288199</v>
      </c>
      <c r="S194" t="s">
        <v>2068</v>
      </c>
      <c r="T194" t="s">
        <v>3746</v>
      </c>
      <c r="U194" t="s">
        <v>3746</v>
      </c>
      <c r="V194" t="s">
        <v>3746</v>
      </c>
      <c r="W194" t="s">
        <v>3938</v>
      </c>
      <c r="X194">
        <v>2</v>
      </c>
      <c r="Y194" t="s">
        <v>5795</v>
      </c>
      <c r="Z194" t="s">
        <v>7582</v>
      </c>
      <c r="AA194">
        <v>1.451295483024585</v>
      </c>
      <c r="AB194" t="str">
        <f>HYPERLINK("Melting_Curves/meltCurve_D6RF62_PAICS.pdf", "Melting_Curves/meltCurve_D6RF62_PAICS.pdf")</f>
        <v>Melting_Curves/meltCurve_D6RF62_PAICS.pdf</v>
      </c>
    </row>
    <row r="195" spans="1:28" x14ac:dyDescent="0.25">
      <c r="A195" t="s">
        <v>199</v>
      </c>
      <c r="B195">
        <v>1</v>
      </c>
      <c r="C195">
        <v>0.84502281978537097</v>
      </c>
      <c r="D195">
        <v>1.0363389663253999</v>
      </c>
      <c r="E195">
        <v>1.17935117799433</v>
      </c>
      <c r="F195">
        <v>1.0054027383742401</v>
      </c>
      <c r="G195">
        <v>0.835993585790058</v>
      </c>
      <c r="H195">
        <v>0.56334032317750105</v>
      </c>
      <c r="I195">
        <v>0.99930923892932</v>
      </c>
      <c r="J195">
        <v>0.87223387196250202</v>
      </c>
      <c r="K195">
        <v>0.80868385345997296</v>
      </c>
      <c r="L195">
        <v>14143.0127815876</v>
      </c>
      <c r="M195">
        <v>250</v>
      </c>
      <c r="O195">
        <v>56.568430898667501</v>
      </c>
      <c r="P195">
        <v>-0.20893739848738299</v>
      </c>
      <c r="Q195">
        <v>0.810891827633898</v>
      </c>
      <c r="R195">
        <v>0.38016533506497902</v>
      </c>
      <c r="S195" t="s">
        <v>2069</v>
      </c>
      <c r="T195" t="s">
        <v>3746</v>
      </c>
      <c r="U195" t="s">
        <v>3746</v>
      </c>
      <c r="V195" t="s">
        <v>3746</v>
      </c>
      <c r="W195" t="s">
        <v>3939</v>
      </c>
      <c r="X195">
        <v>1</v>
      </c>
      <c r="Y195" t="s">
        <v>5796</v>
      </c>
      <c r="Z195" t="s">
        <v>7583</v>
      </c>
      <c r="AA195">
        <v>0.91537427956906525</v>
      </c>
      <c r="AB195" t="str">
        <f>HYPERLINK("Melting_Curves/meltCurve_D6RFH4_CYB5B.pdf", "Melting_Curves/meltCurve_D6RFH4_CYB5B.pdf")</f>
        <v>Melting_Curves/meltCurve_D6RFH4_CYB5B.pdf</v>
      </c>
    </row>
    <row r="196" spans="1:28" x14ac:dyDescent="0.25">
      <c r="A196" t="s">
        <v>200</v>
      </c>
      <c r="B196">
        <v>1</v>
      </c>
      <c r="C196">
        <v>1.0114474026537199</v>
      </c>
      <c r="D196">
        <v>1.53811464747203</v>
      </c>
      <c r="E196">
        <v>1.84285838175353</v>
      </c>
      <c r="F196">
        <v>1.5880669499609701</v>
      </c>
      <c r="G196">
        <v>1.6039372127309</v>
      </c>
      <c r="H196">
        <v>0.835166074061226</v>
      </c>
      <c r="I196">
        <v>1.49709478796288</v>
      </c>
      <c r="J196">
        <v>1.4044748937646301</v>
      </c>
      <c r="K196">
        <v>1.27413060445755</v>
      </c>
      <c r="L196">
        <v>10881.184594328301</v>
      </c>
      <c r="M196">
        <v>250</v>
      </c>
      <c r="O196">
        <v>43.521941223407197</v>
      </c>
      <c r="P196">
        <v>0.64332546734998497</v>
      </c>
      <c r="Q196">
        <v>1.4479804929065601</v>
      </c>
      <c r="R196">
        <v>0.336180313381644</v>
      </c>
      <c r="S196" t="s">
        <v>2070</v>
      </c>
      <c r="T196" t="s">
        <v>3746</v>
      </c>
      <c r="U196" t="s">
        <v>3746</v>
      </c>
      <c r="V196" t="s">
        <v>3746</v>
      </c>
      <c r="W196" t="s">
        <v>3940</v>
      </c>
      <c r="X196">
        <v>5</v>
      </c>
      <c r="Y196" t="s">
        <v>5797</v>
      </c>
      <c r="Z196" t="s">
        <v>7584</v>
      </c>
      <c r="AA196">
        <v>1.3953124726213471</v>
      </c>
      <c r="AB196" t="str">
        <f>HYPERLINK("Melting_Curves/meltCurve_D6RG15_TWF2.pdf", "Melting_Curves/meltCurve_D6RG15_TWF2.pdf")</f>
        <v>Melting_Curves/meltCurve_D6RG15_TWF2.pdf</v>
      </c>
    </row>
    <row r="197" spans="1:28" x14ac:dyDescent="0.25">
      <c r="A197" t="s">
        <v>201</v>
      </c>
      <c r="B197">
        <v>1</v>
      </c>
      <c r="C197">
        <v>1.0101006558412</v>
      </c>
      <c r="D197">
        <v>1.7103309601468299</v>
      </c>
      <c r="E197">
        <v>1.88580647423982</v>
      </c>
      <c r="F197">
        <v>1.4683360806182</v>
      </c>
      <c r="G197">
        <v>1.63130268064859</v>
      </c>
      <c r="H197">
        <v>1.1951273688025299</v>
      </c>
      <c r="I197">
        <v>2.4170261518137899</v>
      </c>
      <c r="J197">
        <v>2.5893452109564099</v>
      </c>
      <c r="K197">
        <v>2.4662434678918399</v>
      </c>
      <c r="L197">
        <v>10891.443626047099</v>
      </c>
      <c r="M197">
        <v>250</v>
      </c>
      <c r="O197">
        <v>43.562986599747703</v>
      </c>
      <c r="P197">
        <v>0.71735210295255902</v>
      </c>
      <c r="Q197">
        <v>1.5</v>
      </c>
      <c r="R197">
        <v>-2.2996017605834099E-2</v>
      </c>
      <c r="S197" t="s">
        <v>2071</v>
      </c>
      <c r="T197" t="s">
        <v>3746</v>
      </c>
      <c r="U197" t="s">
        <v>3746</v>
      </c>
      <c r="V197" t="s">
        <v>3746</v>
      </c>
      <c r="W197" t="s">
        <v>3941</v>
      </c>
      <c r="X197">
        <v>3</v>
      </c>
      <c r="Y197" t="s">
        <v>5798</v>
      </c>
      <c r="Z197" t="s">
        <v>7585</v>
      </c>
      <c r="AA197">
        <v>1.4405321963015729</v>
      </c>
      <c r="AB197" t="str">
        <f>HYPERLINK("Melting_Curves/meltCurve_D6RGF4_ABCE1.pdf", "Melting_Curves/meltCurve_D6RGF4_ABCE1.pdf")</f>
        <v>Melting_Curves/meltCurve_D6RGF4_ABCE1.pdf</v>
      </c>
    </row>
    <row r="198" spans="1:28" x14ac:dyDescent="0.25">
      <c r="A198" t="s">
        <v>202</v>
      </c>
      <c r="B198">
        <v>1</v>
      </c>
      <c r="C198">
        <v>1.3758612181373</v>
      </c>
      <c r="D198">
        <v>1.6703361360487401</v>
      </c>
      <c r="E198">
        <v>2.4582914191356502</v>
      </c>
      <c r="F198">
        <v>1.4665477252453201</v>
      </c>
      <c r="G198">
        <v>1.69732571602103</v>
      </c>
      <c r="H198">
        <v>2.06939093134929</v>
      </c>
      <c r="I198">
        <v>1.79662914950557</v>
      </c>
      <c r="J198">
        <v>1.44665667052594</v>
      </c>
      <c r="K198">
        <v>1.5374570577182201</v>
      </c>
      <c r="L198">
        <v>10677.474522722699</v>
      </c>
      <c r="M198">
        <v>250</v>
      </c>
      <c r="O198">
        <v>42.707164964521297</v>
      </c>
      <c r="P198">
        <v>0.73172733615119201</v>
      </c>
      <c r="Q198">
        <v>1.5</v>
      </c>
      <c r="R198">
        <v>2.4208162863069701E-2</v>
      </c>
      <c r="S198" t="s">
        <v>2072</v>
      </c>
      <c r="T198" t="s">
        <v>3746</v>
      </c>
      <c r="U198" t="s">
        <v>3746</v>
      </c>
      <c r="V198" t="s">
        <v>3746</v>
      </c>
      <c r="W198" t="s">
        <v>3942</v>
      </c>
      <c r="X198">
        <v>2</v>
      </c>
      <c r="Y198" t="s">
        <v>5799</v>
      </c>
      <c r="Z198" t="s">
        <v>7586</v>
      </c>
      <c r="AA198">
        <v>1.4547975541059519</v>
      </c>
      <c r="AB198" t="str">
        <f>HYPERLINK("Melting_Curves/meltCurve_D6RGV2_IL7R.pdf", "Melting_Curves/meltCurve_D6RGV2_IL7R.pdf")</f>
        <v>Melting_Curves/meltCurve_D6RGV2_IL7R.pdf</v>
      </c>
    </row>
    <row r="199" spans="1:28" x14ac:dyDescent="0.25">
      <c r="A199" t="s">
        <v>203</v>
      </c>
      <c r="B199">
        <v>1</v>
      </c>
      <c r="C199">
        <v>1.0038514866738599</v>
      </c>
      <c r="D199">
        <v>1.23550557181739</v>
      </c>
      <c r="E199">
        <v>1.48533867406152</v>
      </c>
      <c r="F199">
        <v>1.0843732347352699</v>
      </c>
      <c r="G199">
        <v>1.28069634879063</v>
      </c>
      <c r="H199">
        <v>0.746212704770708</v>
      </c>
      <c r="I199">
        <v>1.07780003081189</v>
      </c>
      <c r="J199">
        <v>1.10291172392544</v>
      </c>
      <c r="K199">
        <v>0.98675088584193504</v>
      </c>
      <c r="L199">
        <v>10872.877425500399</v>
      </c>
      <c r="M199">
        <v>250</v>
      </c>
      <c r="O199">
        <v>43.488727252083997</v>
      </c>
      <c r="P199">
        <v>0.17957043592373201</v>
      </c>
      <c r="Q199">
        <v>1.1249486331573</v>
      </c>
      <c r="R199">
        <v>6.7760157178350197E-2</v>
      </c>
      <c r="S199" t="s">
        <v>2073</v>
      </c>
      <c r="T199" t="s">
        <v>3746</v>
      </c>
      <c r="U199" t="s">
        <v>3746</v>
      </c>
      <c r="V199" t="s">
        <v>3746</v>
      </c>
      <c r="W199" t="s">
        <v>3943</v>
      </c>
      <c r="X199">
        <v>8</v>
      </c>
      <c r="Y199" t="s">
        <v>5800</v>
      </c>
      <c r="Z199" t="s">
        <v>7587</v>
      </c>
      <c r="AA199">
        <v>1.110397117381754</v>
      </c>
      <c r="AB199" t="str">
        <f>HYPERLINK("Melting_Curves/meltCurve_D6RHI9_RNASET2.pdf", "Melting_Curves/meltCurve_D6RHI9_RNASET2.pdf")</f>
        <v>Melting_Curves/meltCurve_D6RHI9_RNASET2.pdf</v>
      </c>
    </row>
    <row r="200" spans="1:28" x14ac:dyDescent="0.25">
      <c r="A200" t="s">
        <v>204</v>
      </c>
      <c r="B200">
        <v>1</v>
      </c>
      <c r="C200">
        <v>1.2601110026208999</v>
      </c>
      <c r="D200">
        <v>1.5875173441595101</v>
      </c>
      <c r="E200">
        <v>2.0332750912174302</v>
      </c>
      <c r="F200">
        <v>1.7751426075337899</v>
      </c>
      <c r="G200">
        <v>2.07333367593401</v>
      </c>
      <c r="H200">
        <v>2.1662469808314899</v>
      </c>
      <c r="I200">
        <v>3.1368518423351701</v>
      </c>
      <c r="J200">
        <v>3.4374839405930402</v>
      </c>
      <c r="K200">
        <v>3.4115319389485599</v>
      </c>
      <c r="L200">
        <v>10721.527974041999</v>
      </c>
      <c r="M200">
        <v>250</v>
      </c>
      <c r="O200">
        <v>42.883367483922697</v>
      </c>
      <c r="P200">
        <v>0.72872075773623901</v>
      </c>
      <c r="Q200">
        <v>1.5</v>
      </c>
      <c r="R200">
        <v>-0.65121945457835695</v>
      </c>
      <c r="S200" t="s">
        <v>2074</v>
      </c>
      <c r="T200" t="s">
        <v>3746</v>
      </c>
      <c r="U200" t="s">
        <v>3746</v>
      </c>
      <c r="V200" t="s">
        <v>3746</v>
      </c>
      <c r="W200" t="s">
        <v>3944</v>
      </c>
      <c r="X200">
        <v>2</v>
      </c>
      <c r="Y200" t="s">
        <v>5801</v>
      </c>
      <c r="Z200" t="s">
        <v>7588</v>
      </c>
      <c r="AA200">
        <v>1.4518605027982141</v>
      </c>
      <c r="AB200" t="str">
        <f>HYPERLINK("Melting_Curves/meltCurve_D6RIW1_HMGCS1.pdf", "Melting_Curves/meltCurve_D6RIW1_HMGCS1.pdf")</f>
        <v>Melting_Curves/meltCurve_D6RIW1_HMGCS1.pdf</v>
      </c>
    </row>
    <row r="201" spans="1:28" x14ac:dyDescent="0.25">
      <c r="A201" t="s">
        <v>205</v>
      </c>
      <c r="B201">
        <v>1</v>
      </c>
      <c r="C201">
        <v>1.39350601449189</v>
      </c>
      <c r="D201">
        <v>1.4949968470022701</v>
      </c>
      <c r="E201">
        <v>1.8651468821016799</v>
      </c>
      <c r="F201">
        <v>1.1061786857353599</v>
      </c>
      <c r="G201">
        <v>1.8384951277261501</v>
      </c>
      <c r="H201">
        <v>0.97955905624234096</v>
      </c>
      <c r="I201">
        <v>1.5989862814853599</v>
      </c>
      <c r="J201">
        <v>1.68619938843742</v>
      </c>
      <c r="K201">
        <v>1.5566290289956799</v>
      </c>
      <c r="L201">
        <v>4781.19322993686</v>
      </c>
      <c r="M201">
        <v>112.756635914686</v>
      </c>
      <c r="O201">
        <v>42.389435867272098</v>
      </c>
      <c r="P201">
        <v>0.33250221000191699</v>
      </c>
      <c r="Q201">
        <v>1.5</v>
      </c>
      <c r="R201">
        <v>0.24824233596681899</v>
      </c>
      <c r="S201" t="s">
        <v>2075</v>
      </c>
      <c r="T201" t="s">
        <v>3746</v>
      </c>
      <c r="U201" t="s">
        <v>3746</v>
      </c>
      <c r="V201" t="s">
        <v>3746</v>
      </c>
      <c r="W201" t="s">
        <v>3945</v>
      </c>
      <c r="X201">
        <v>1</v>
      </c>
      <c r="Y201" t="s">
        <v>5802</v>
      </c>
      <c r="Z201" t="s">
        <v>7589</v>
      </c>
      <c r="AA201">
        <v>1.459764562646727</v>
      </c>
      <c r="AB201" t="str">
        <f>HYPERLINK("Melting_Curves/meltCurve_D7UEQ7_AHCYL2.pdf", "Melting_Curves/meltCurve_D7UEQ7_AHCYL2.pdf")</f>
        <v>Melting_Curves/meltCurve_D7UEQ7_AHCYL2.pdf</v>
      </c>
    </row>
    <row r="202" spans="1:28" x14ac:dyDescent="0.25">
      <c r="A202" t="s">
        <v>206</v>
      </c>
      <c r="B202">
        <v>1</v>
      </c>
      <c r="C202">
        <v>0.87281480736793904</v>
      </c>
      <c r="D202">
        <v>1.2283994057393099</v>
      </c>
      <c r="E202">
        <v>1.5088859846073099</v>
      </c>
      <c r="F202">
        <v>0.990650447371067</v>
      </c>
      <c r="G202">
        <v>1.1330049261083699</v>
      </c>
      <c r="H202">
        <v>0.469220200395429</v>
      </c>
      <c r="I202">
        <v>1.07649430872513</v>
      </c>
      <c r="J202">
        <v>1.0828502172626</v>
      </c>
      <c r="K202">
        <v>0.79591836734693899</v>
      </c>
      <c r="L202">
        <v>5969.2492664134797</v>
      </c>
      <c r="M202">
        <v>101.81426954394701</v>
      </c>
      <c r="O202">
        <v>58.606199431364999</v>
      </c>
      <c r="P202">
        <v>-6.1189733072973602E-2</v>
      </c>
      <c r="Q202">
        <v>0.85911218392143396</v>
      </c>
      <c r="R202">
        <v>0.112307895415141</v>
      </c>
      <c r="S202" t="s">
        <v>2076</v>
      </c>
      <c r="T202" t="s">
        <v>3746</v>
      </c>
      <c r="U202" t="s">
        <v>3746</v>
      </c>
      <c r="V202" t="s">
        <v>3746</v>
      </c>
      <c r="W202" t="s">
        <v>3946</v>
      </c>
      <c r="X202">
        <v>1</v>
      </c>
      <c r="Y202" t="s">
        <v>5803</v>
      </c>
      <c r="Z202" t="s">
        <v>7590</v>
      </c>
      <c r="AA202">
        <v>0.9466854190884717</v>
      </c>
      <c r="AB202" t="str">
        <f>HYPERLINK("Melting_Curves/meltCurve_E5RFY9_C1orf198.pdf", "Melting_Curves/meltCurve_E5RFY9_C1orf198.pdf")</f>
        <v>Melting_Curves/meltCurve_E5RFY9_C1orf198.pdf</v>
      </c>
    </row>
    <row r="203" spans="1:28" x14ac:dyDescent="0.25">
      <c r="A203" t="s">
        <v>207</v>
      </c>
      <c r="B203">
        <v>1</v>
      </c>
      <c r="C203">
        <v>1.28062866408881</v>
      </c>
      <c r="D203">
        <v>1.60748409629537</v>
      </c>
      <c r="E203">
        <v>1.85490831982038</v>
      </c>
      <c r="F203">
        <v>1.0218286141948401</v>
      </c>
      <c r="G203">
        <v>1.08117749781714</v>
      </c>
      <c r="H203">
        <v>0.95402270175876303</v>
      </c>
      <c r="I203">
        <v>2.1890732194087601</v>
      </c>
      <c r="J203">
        <v>3.2288886117001399</v>
      </c>
      <c r="K203">
        <v>3.1570412872645601</v>
      </c>
      <c r="S203" t="s">
        <v>2077</v>
      </c>
      <c r="T203" t="s">
        <v>3746</v>
      </c>
      <c r="U203" t="s">
        <v>3747</v>
      </c>
      <c r="V203" t="s">
        <v>3746</v>
      </c>
      <c r="W203" t="s">
        <v>3947</v>
      </c>
      <c r="X203">
        <v>2</v>
      </c>
      <c r="Y203" t="s">
        <v>5804</v>
      </c>
      <c r="Z203" t="s">
        <v>7591</v>
      </c>
      <c r="AB203" t="str">
        <f>HYPERLINK("Melting_Curves/meltCurve_E5RG27_CSNK1A1.pdf", "Melting_Curves/meltCurve_E5RG27_CSNK1A1.pdf")</f>
        <v>Melting_Curves/meltCurve_E5RG27_CSNK1A1.pdf</v>
      </c>
    </row>
    <row r="204" spans="1:28" x14ac:dyDescent="0.25">
      <c r="A204" t="s">
        <v>208</v>
      </c>
      <c r="B204">
        <v>1</v>
      </c>
      <c r="C204">
        <v>1.00533269420893</v>
      </c>
      <c r="D204">
        <v>1.4188112286168</v>
      </c>
      <c r="E204">
        <v>1.79409209383145</v>
      </c>
      <c r="F204">
        <v>1.4437370802001299</v>
      </c>
      <c r="G204">
        <v>2.1104586716198801</v>
      </c>
      <c r="H204">
        <v>1.3677461877228201</v>
      </c>
      <c r="I204">
        <v>2.5369244135534301</v>
      </c>
      <c r="J204">
        <v>2.3354504329069199</v>
      </c>
      <c r="K204">
        <v>2.0628239312142398</v>
      </c>
      <c r="L204">
        <v>5481.4080506918099</v>
      </c>
      <c r="M204">
        <v>120.802629232058</v>
      </c>
      <c r="O204">
        <v>45.362476321526799</v>
      </c>
      <c r="P204">
        <v>0.33288150437380598</v>
      </c>
      <c r="Q204">
        <v>1.5</v>
      </c>
      <c r="R204">
        <v>2.67165767583529E-2</v>
      </c>
      <c r="S204" t="s">
        <v>2078</v>
      </c>
      <c r="T204" t="s">
        <v>3746</v>
      </c>
      <c r="U204" t="s">
        <v>3746</v>
      </c>
      <c r="V204" t="s">
        <v>3746</v>
      </c>
      <c r="W204" t="s">
        <v>3948</v>
      </c>
      <c r="X204">
        <v>2</v>
      </c>
      <c r="Y204" t="s">
        <v>5805</v>
      </c>
      <c r="Z204" t="s">
        <v>7592</v>
      </c>
      <c r="AA204">
        <v>1.410247570100456</v>
      </c>
      <c r="AB204" t="str">
        <f>HYPERLINK("Melting_Curves/meltCurve_E5RGR0_LYPLA1.pdf", "Melting_Curves/meltCurve_E5RGR0_LYPLA1.pdf")</f>
        <v>Melting_Curves/meltCurve_E5RGR0_LYPLA1.pdf</v>
      </c>
    </row>
    <row r="205" spans="1:28" x14ac:dyDescent="0.25">
      <c r="A205" t="s">
        <v>209</v>
      </c>
      <c r="B205">
        <v>1</v>
      </c>
      <c r="C205">
        <v>1.0193552065220499</v>
      </c>
      <c r="D205">
        <v>1.26934808015735</v>
      </c>
      <c r="E205">
        <v>1.7485533479661399</v>
      </c>
      <c r="F205">
        <v>1.20843191471167</v>
      </c>
      <c r="G205">
        <v>1.20503976511502</v>
      </c>
      <c r="H205">
        <v>0.67133206008950697</v>
      </c>
      <c r="I205">
        <v>1.1917277158575901</v>
      </c>
      <c r="J205">
        <v>1.21017074769818</v>
      </c>
      <c r="K205">
        <v>1.1206921125395499</v>
      </c>
      <c r="L205">
        <v>10821.5639310031</v>
      </c>
      <c r="M205">
        <v>250</v>
      </c>
      <c r="O205">
        <v>43.283490211980997</v>
      </c>
      <c r="P205">
        <v>0.29335953472680198</v>
      </c>
      <c r="Q205">
        <v>1.2031619713738999</v>
      </c>
      <c r="R205">
        <v>9.2187330517560701E-2</v>
      </c>
      <c r="S205" t="s">
        <v>2079</v>
      </c>
      <c r="T205" t="s">
        <v>3746</v>
      </c>
      <c r="U205" t="s">
        <v>3746</v>
      </c>
      <c r="V205" t="s">
        <v>3746</v>
      </c>
      <c r="W205" t="s">
        <v>3949</v>
      </c>
      <c r="X205">
        <v>1</v>
      </c>
      <c r="Y205" t="s">
        <v>5806</v>
      </c>
      <c r="Z205" t="s">
        <v>7593</v>
      </c>
      <c r="AA205">
        <v>1.1808917981161651</v>
      </c>
      <c r="AB205" t="str">
        <f>HYPERLINK("Melting_Curves/meltCurve_E5RGS4_PFDN1.pdf", "Melting_Curves/meltCurve_E5RGS4_PFDN1.pdf")</f>
        <v>Melting_Curves/meltCurve_E5RGS4_PFDN1.pdf</v>
      </c>
    </row>
    <row r="206" spans="1:28" x14ac:dyDescent="0.25">
      <c r="A206" t="s">
        <v>210</v>
      </c>
      <c r="B206">
        <v>1</v>
      </c>
      <c r="C206">
        <v>1.2079397831962599</v>
      </c>
      <c r="D206">
        <v>1.33427300996832</v>
      </c>
      <c r="E206">
        <v>1.64747595105932</v>
      </c>
      <c r="F206">
        <v>1.24380249353367</v>
      </c>
      <c r="G206">
        <v>1.37446598273707</v>
      </c>
      <c r="H206">
        <v>1.0569909035426801</v>
      </c>
      <c r="I206">
        <v>1.42151762620245</v>
      </c>
      <c r="J206">
        <v>1.4169548664593601</v>
      </c>
      <c r="K206">
        <v>1.32459530936674</v>
      </c>
      <c r="L206">
        <v>2648.11659497452</v>
      </c>
      <c r="M206">
        <v>62.0768444076975</v>
      </c>
      <c r="O206">
        <v>42.614482108820901</v>
      </c>
      <c r="P206">
        <v>0.12857853530574001</v>
      </c>
      <c r="Q206">
        <v>1.35306599617804</v>
      </c>
      <c r="R206">
        <v>0.38007086415303498</v>
      </c>
      <c r="S206" t="s">
        <v>2080</v>
      </c>
      <c r="T206" t="s">
        <v>3746</v>
      </c>
      <c r="U206" t="s">
        <v>3746</v>
      </c>
      <c r="V206" t="s">
        <v>3746</v>
      </c>
      <c r="W206" t="s">
        <v>3950</v>
      </c>
      <c r="X206">
        <v>2</v>
      </c>
      <c r="Y206" t="s">
        <v>5807</v>
      </c>
      <c r="Z206" t="s">
        <v>7594</v>
      </c>
      <c r="AA206">
        <v>1.321235531882351</v>
      </c>
      <c r="AB206" t="str">
        <f>HYPERLINK("Melting_Curves/meltCurve_E5RI95_NCALD.pdf", "Melting_Curves/meltCurve_E5RI95_NCALD.pdf")</f>
        <v>Melting_Curves/meltCurve_E5RI95_NCALD.pdf</v>
      </c>
    </row>
    <row r="207" spans="1:28" x14ac:dyDescent="0.25">
      <c r="A207" t="s">
        <v>211</v>
      </c>
      <c r="B207">
        <v>1</v>
      </c>
      <c r="C207">
        <v>1.19714880240847</v>
      </c>
      <c r="D207">
        <v>1.5415504493735299</v>
      </c>
      <c r="E207">
        <v>2.6794173639704302</v>
      </c>
      <c r="F207">
        <v>2.7335635542568699</v>
      </c>
      <c r="G207">
        <v>2.9089741886926102</v>
      </c>
      <c r="H207">
        <v>2.2002479302253501</v>
      </c>
      <c r="I207">
        <v>2.5773675122858299</v>
      </c>
      <c r="J207">
        <v>2.36047283835835</v>
      </c>
      <c r="K207">
        <v>2.3833621109487799</v>
      </c>
      <c r="L207">
        <v>10743.4162280196</v>
      </c>
      <c r="M207">
        <v>250</v>
      </c>
      <c r="O207">
        <v>42.970914806383398</v>
      </c>
      <c r="P207">
        <v>0.72723608799189998</v>
      </c>
      <c r="Q207">
        <v>1.5</v>
      </c>
      <c r="R207">
        <v>-0.97792904630886002</v>
      </c>
      <c r="S207" t="s">
        <v>2081</v>
      </c>
      <c r="T207" t="s">
        <v>3746</v>
      </c>
      <c r="U207" t="s">
        <v>3746</v>
      </c>
      <c r="V207" t="s">
        <v>3746</v>
      </c>
      <c r="W207" t="s">
        <v>3951</v>
      </c>
      <c r="X207">
        <v>1</v>
      </c>
      <c r="Y207" t="s">
        <v>5808</v>
      </c>
      <c r="Z207" t="s">
        <v>7595</v>
      </c>
      <c r="AA207">
        <v>1.450401209054579</v>
      </c>
      <c r="AB207" t="str">
        <f>HYPERLINK("Melting_Curves/meltCurve_E5RII8_OXR1.pdf", "Melting_Curves/meltCurve_E5RII8_OXR1.pdf")</f>
        <v>Melting_Curves/meltCurve_E5RII8_OXR1.pdf</v>
      </c>
    </row>
    <row r="208" spans="1:28" x14ac:dyDescent="0.25">
      <c r="A208" t="s">
        <v>212</v>
      </c>
      <c r="B208">
        <v>1</v>
      </c>
      <c r="C208">
        <v>1.0224643270343201</v>
      </c>
      <c r="D208">
        <v>1.7331276513690701</v>
      </c>
      <c r="E208">
        <v>2.17643655996915</v>
      </c>
      <c r="F208">
        <v>1.6102969533358999</v>
      </c>
      <c r="G208">
        <v>1.9336675665252601</v>
      </c>
      <c r="H208">
        <v>1.16988044735827</v>
      </c>
      <c r="I208">
        <v>2.0815657539529502</v>
      </c>
      <c r="J208">
        <v>2.0200539915156202</v>
      </c>
      <c r="K208">
        <v>2.0698997300424198</v>
      </c>
      <c r="L208">
        <v>10856.1244372739</v>
      </c>
      <c r="M208">
        <v>250</v>
      </c>
      <c r="O208">
        <v>43.421718828087101</v>
      </c>
      <c r="P208">
        <v>0.719685927927326</v>
      </c>
      <c r="Q208">
        <v>1.5</v>
      </c>
      <c r="R208">
        <v>7.7666826623841695E-2</v>
      </c>
      <c r="S208" t="s">
        <v>2082</v>
      </c>
      <c r="T208" t="s">
        <v>3746</v>
      </c>
      <c r="U208" t="s">
        <v>3746</v>
      </c>
      <c r="V208" t="s">
        <v>3746</v>
      </c>
      <c r="W208" t="s">
        <v>3952</v>
      </c>
      <c r="X208">
        <v>1</v>
      </c>
      <c r="Y208" t="s">
        <v>5809</v>
      </c>
      <c r="Z208" t="s">
        <v>7596</v>
      </c>
      <c r="AA208">
        <v>1.442886932854994</v>
      </c>
      <c r="AB208" t="str">
        <f>HYPERLINK("Melting_Curves/meltCurve_E5RIK5_DCTN6.pdf", "Melting_Curves/meltCurve_E5RIK5_DCTN6.pdf")</f>
        <v>Melting_Curves/meltCurve_E5RIK5_DCTN6.pdf</v>
      </c>
    </row>
    <row r="209" spans="1:28" x14ac:dyDescent="0.25">
      <c r="A209" t="s">
        <v>213</v>
      </c>
      <c r="B209">
        <v>1</v>
      </c>
      <c r="C209">
        <v>1.4073813213128601</v>
      </c>
      <c r="D209">
        <v>2.0694464009015401</v>
      </c>
      <c r="E209">
        <v>2.77891252289055</v>
      </c>
      <c r="F209">
        <v>2.2804620369066102</v>
      </c>
      <c r="G209">
        <v>2.7973658261727001</v>
      </c>
      <c r="H209">
        <v>2.0868432173545601</v>
      </c>
      <c r="I209">
        <v>2.4385828989998601</v>
      </c>
      <c r="J209">
        <v>1.9450626848852</v>
      </c>
      <c r="K209">
        <v>2.0838146217777198</v>
      </c>
      <c r="L209">
        <v>10661.453972236501</v>
      </c>
      <c r="M209">
        <v>250</v>
      </c>
      <c r="O209">
        <v>42.643085130989498</v>
      </c>
      <c r="P209">
        <v>0.73282687422204196</v>
      </c>
      <c r="Q209">
        <v>1.5</v>
      </c>
      <c r="R209">
        <v>-1.1423791852071401</v>
      </c>
      <c r="S209" t="s">
        <v>2083</v>
      </c>
      <c r="T209" t="s">
        <v>3746</v>
      </c>
      <c r="U209" t="s">
        <v>3746</v>
      </c>
      <c r="V209" t="s">
        <v>3746</v>
      </c>
      <c r="W209" t="s">
        <v>3953</v>
      </c>
      <c r="X209">
        <v>1</v>
      </c>
      <c r="Y209" t="s">
        <v>5810</v>
      </c>
      <c r="Z209" t="s">
        <v>7597</v>
      </c>
      <c r="AA209">
        <v>1.4558656469825739</v>
      </c>
      <c r="AB209" t="str">
        <f>HYPERLINK("Melting_Curves/meltCurve_E5RIT4_EIF3E.pdf", "Melting_Curves/meltCurve_E5RIT4_EIF3E.pdf")</f>
        <v>Melting_Curves/meltCurve_E5RIT4_EIF3E.pdf</v>
      </c>
    </row>
    <row r="210" spans="1:28" x14ac:dyDescent="0.25">
      <c r="A210" t="s">
        <v>214</v>
      </c>
      <c r="B210">
        <v>1</v>
      </c>
      <c r="C210">
        <v>1.17067884812541</v>
      </c>
      <c r="D210">
        <v>1.34108517071778</v>
      </c>
      <c r="E210">
        <v>1.6411228051961499</v>
      </c>
      <c r="F210">
        <v>1.1284633453158099</v>
      </c>
      <c r="G210">
        <v>1.18850980443049</v>
      </c>
      <c r="H210">
        <v>0.97551163424478005</v>
      </c>
      <c r="I210">
        <v>1.04791258419092</v>
      </c>
      <c r="J210">
        <v>1.2343200487950501</v>
      </c>
      <c r="K210">
        <v>1.07243988216515</v>
      </c>
      <c r="L210">
        <v>10654.4927902937</v>
      </c>
      <c r="M210">
        <v>250</v>
      </c>
      <c r="O210">
        <v>42.615243915429403</v>
      </c>
      <c r="P210">
        <v>0.29870569813430498</v>
      </c>
      <c r="Q210">
        <v>1.2036706586161701</v>
      </c>
      <c r="R210">
        <v>0.106361812664653</v>
      </c>
      <c r="S210" t="s">
        <v>2084</v>
      </c>
      <c r="T210" t="s">
        <v>3746</v>
      </c>
      <c r="U210" t="s">
        <v>3746</v>
      </c>
      <c r="V210" t="s">
        <v>3746</v>
      </c>
      <c r="W210" t="s">
        <v>3954</v>
      </c>
      <c r="X210">
        <v>5</v>
      </c>
      <c r="Y210" t="s">
        <v>5811</v>
      </c>
      <c r="Z210" t="s">
        <v>7598</v>
      </c>
      <c r="AA210">
        <v>1.1858819615310761</v>
      </c>
      <c r="AB210" t="str">
        <f>HYPERLINK("Melting_Curves/meltCurve_E5RIW3_TBCA.pdf", "Melting_Curves/meltCurve_E5RIW3_TBCA.pdf")</f>
        <v>Melting_Curves/meltCurve_E5RIW3_TBCA.pdf</v>
      </c>
    </row>
    <row r="211" spans="1:28" x14ac:dyDescent="0.25">
      <c r="A211" t="s">
        <v>215</v>
      </c>
      <c r="B211">
        <v>1</v>
      </c>
      <c r="C211">
        <v>0.98438757039420799</v>
      </c>
      <c r="D211">
        <v>1.11014179404666</v>
      </c>
      <c r="E211">
        <v>1.4135156878519699</v>
      </c>
      <c r="F211">
        <v>0.82635257441673404</v>
      </c>
      <c r="G211">
        <v>0.93543845534995995</v>
      </c>
      <c r="H211">
        <v>0.51068483507642803</v>
      </c>
      <c r="I211">
        <v>0.83311544650040203</v>
      </c>
      <c r="J211">
        <v>0.89616854384553502</v>
      </c>
      <c r="K211">
        <v>0.808125502815768</v>
      </c>
      <c r="L211">
        <v>14306.319586399701</v>
      </c>
      <c r="M211">
        <v>250</v>
      </c>
      <c r="O211">
        <v>57.221616385678303</v>
      </c>
      <c r="P211">
        <v>-0.25992843386664899</v>
      </c>
      <c r="Q211">
        <v>0.76202359851752399</v>
      </c>
      <c r="R211">
        <v>0.378929550739729</v>
      </c>
      <c r="S211" t="s">
        <v>2085</v>
      </c>
      <c r="T211" t="s">
        <v>3746</v>
      </c>
      <c r="U211" t="s">
        <v>3746</v>
      </c>
      <c r="V211" t="s">
        <v>3746</v>
      </c>
      <c r="W211" t="s">
        <v>3955</v>
      </c>
      <c r="X211">
        <v>4</v>
      </c>
      <c r="Y211" t="s">
        <v>5812</v>
      </c>
      <c r="Z211" t="s">
        <v>7599</v>
      </c>
      <c r="AA211">
        <v>0.89868782353606869</v>
      </c>
      <c r="AB211" t="str">
        <f>HYPERLINK("Melting_Curves/meltCurve_E5RJB8_SDC2.pdf", "Melting_Curves/meltCurve_E5RJB8_SDC2.pdf")</f>
        <v>Melting_Curves/meltCurve_E5RJB8_SDC2.pdf</v>
      </c>
    </row>
    <row r="212" spans="1:28" x14ac:dyDescent="0.25">
      <c r="A212" t="s">
        <v>216</v>
      </c>
      <c r="B212">
        <v>1</v>
      </c>
      <c r="C212">
        <v>1.0373959121877401</v>
      </c>
      <c r="D212">
        <v>1.5928589452435</v>
      </c>
      <c r="E212">
        <v>2.4634620237194</v>
      </c>
      <c r="F212">
        <v>2.5697703759777899</v>
      </c>
      <c r="G212">
        <v>2.85339389351501</v>
      </c>
      <c r="H212">
        <v>1.5702750441584701</v>
      </c>
      <c r="I212">
        <v>2.26076204895281</v>
      </c>
      <c r="J212">
        <v>2.43873328286652</v>
      </c>
      <c r="K212">
        <v>2.0584153419126898</v>
      </c>
      <c r="S212" t="s">
        <v>2086</v>
      </c>
      <c r="T212" t="s">
        <v>3746</v>
      </c>
      <c r="U212" t="s">
        <v>3747</v>
      </c>
      <c r="V212" t="s">
        <v>3746</v>
      </c>
      <c r="W212" t="s">
        <v>3956</v>
      </c>
      <c r="X212">
        <v>1</v>
      </c>
      <c r="Y212" t="s">
        <v>5813</v>
      </c>
      <c r="Z212" t="s">
        <v>7600</v>
      </c>
      <c r="AB212" t="str">
        <f>HYPERLINK("Melting_Curves/meltCurve_E5RJE3_RWDD1.pdf", "Melting_Curves/meltCurve_E5RJE3_RWDD1.pdf")</f>
        <v>Melting_Curves/meltCurve_E5RJE3_RWDD1.pdf</v>
      </c>
    </row>
    <row r="213" spans="1:28" x14ac:dyDescent="0.25">
      <c r="A213" t="s">
        <v>217</v>
      </c>
      <c r="B213">
        <v>1</v>
      </c>
      <c r="C213">
        <v>1.23008735868448</v>
      </c>
      <c r="D213">
        <v>1.92542394655704</v>
      </c>
      <c r="E213">
        <v>2.7356757451181899</v>
      </c>
      <c r="F213">
        <v>1.8721736896197301</v>
      </c>
      <c r="G213">
        <v>2.3688335046248699</v>
      </c>
      <c r="H213">
        <v>1.5090570400822201</v>
      </c>
      <c r="I213">
        <v>2.2997816032888001</v>
      </c>
      <c r="J213">
        <v>2.2964414182939401</v>
      </c>
      <c r="K213">
        <v>2.2200668036999001</v>
      </c>
      <c r="L213">
        <v>10731.848495053</v>
      </c>
      <c r="M213">
        <v>250</v>
      </c>
      <c r="O213">
        <v>42.924646929610198</v>
      </c>
      <c r="P213">
        <v>0.72801996719723305</v>
      </c>
      <c r="Q213">
        <v>1.5</v>
      </c>
      <c r="R213">
        <v>-0.60963310303741103</v>
      </c>
      <c r="S213" t="s">
        <v>2087</v>
      </c>
      <c r="T213" t="s">
        <v>3746</v>
      </c>
      <c r="U213" t="s">
        <v>3746</v>
      </c>
      <c r="V213" t="s">
        <v>3746</v>
      </c>
      <c r="W213" t="s">
        <v>3957</v>
      </c>
      <c r="X213">
        <v>2</v>
      </c>
      <c r="Y213" t="s">
        <v>5814</v>
      </c>
      <c r="Z213" t="s">
        <v>7601</v>
      </c>
      <c r="AA213">
        <v>1.4511724318476971</v>
      </c>
      <c r="AB213" t="str">
        <f>HYPERLINK("Melting_Curves/meltCurve_E5RJR5_SKP1.pdf", "Melting_Curves/meltCurve_E5RJR5_SKP1.pdf")</f>
        <v>Melting_Curves/meltCurve_E5RJR5_SKP1.pdf</v>
      </c>
    </row>
    <row r="214" spans="1:28" x14ac:dyDescent="0.25">
      <c r="A214" t="s">
        <v>218</v>
      </c>
      <c r="B214">
        <v>1</v>
      </c>
      <c r="C214">
        <v>1.0099194316902</v>
      </c>
      <c r="D214">
        <v>1.2979078229229799</v>
      </c>
      <c r="E214">
        <v>1.3620375985445701</v>
      </c>
      <c r="F214">
        <v>0.96313783245256901</v>
      </c>
      <c r="G214">
        <v>0.94407866239279203</v>
      </c>
      <c r="H214">
        <v>0.572489820670536</v>
      </c>
      <c r="I214">
        <v>0.948431950099628</v>
      </c>
      <c r="J214">
        <v>1.01232348609547</v>
      </c>
      <c r="K214">
        <v>0.85610326604868803</v>
      </c>
      <c r="L214">
        <v>14281.2412800037</v>
      </c>
      <c r="M214">
        <v>250</v>
      </c>
      <c r="O214">
        <v>57.121285657508899</v>
      </c>
      <c r="P214">
        <v>-0.167037981670031</v>
      </c>
      <c r="Q214">
        <v>0.84733714777214098</v>
      </c>
      <c r="R214">
        <v>0.22351144103059101</v>
      </c>
      <c r="S214" t="s">
        <v>2088</v>
      </c>
      <c r="T214" t="s">
        <v>3746</v>
      </c>
      <c r="U214" t="s">
        <v>3746</v>
      </c>
      <c r="V214" t="s">
        <v>3746</v>
      </c>
      <c r="W214" t="s">
        <v>3958</v>
      </c>
      <c r="X214">
        <v>2</v>
      </c>
      <c r="Y214" t="s">
        <v>5815</v>
      </c>
      <c r="Z214" t="s">
        <v>7602</v>
      </c>
      <c r="AA214">
        <v>0.9344973200633736</v>
      </c>
      <c r="AB214" t="str">
        <f>HYPERLINK("Melting_Curves/meltCurve_E5RJU9_MTDH.pdf", "Melting_Curves/meltCurve_E5RJU9_MTDH.pdf")</f>
        <v>Melting_Curves/meltCurve_E5RJU9_MTDH.pdf</v>
      </c>
    </row>
    <row r="215" spans="1:28" x14ac:dyDescent="0.25">
      <c r="A215" t="s">
        <v>219</v>
      </c>
      <c r="B215">
        <v>1</v>
      </c>
      <c r="C215">
        <v>0.970831794925893</v>
      </c>
      <c r="D215">
        <v>1.5269792710586001</v>
      </c>
      <c r="E215">
        <v>1.5969196687589</v>
      </c>
      <c r="F215">
        <v>0.809219895564112</v>
      </c>
      <c r="G215">
        <v>0.95632681048578505</v>
      </c>
      <c r="H215">
        <v>0.59032649401339699</v>
      </c>
      <c r="I215">
        <v>0.99704625771401401</v>
      </c>
      <c r="J215">
        <v>1.0419325913813999</v>
      </c>
      <c r="K215">
        <v>0.97526240835487099</v>
      </c>
      <c r="L215">
        <v>4282.8018228622504</v>
      </c>
      <c r="M215">
        <v>82.166392516765796</v>
      </c>
      <c r="O215">
        <v>52.092671203317202</v>
      </c>
      <c r="P215">
        <v>-4.00874269231387E-2</v>
      </c>
      <c r="Q215">
        <v>0.89833990080816395</v>
      </c>
      <c r="R215">
        <v>4.4684870791192502E-2</v>
      </c>
      <c r="S215" t="s">
        <v>2089</v>
      </c>
      <c r="T215" t="s">
        <v>3746</v>
      </c>
      <c r="U215" t="s">
        <v>3746</v>
      </c>
      <c r="V215" t="s">
        <v>3746</v>
      </c>
      <c r="W215" t="s">
        <v>3959</v>
      </c>
      <c r="X215">
        <v>1</v>
      </c>
      <c r="Y215" t="s">
        <v>5816</v>
      </c>
      <c r="Z215" t="s">
        <v>7603</v>
      </c>
      <c r="AA215">
        <v>0.93950876526592597</v>
      </c>
      <c r="AB215" t="str">
        <f>HYPERLINK("Melting_Curves/meltCurve_E5RK99_CTHRC1.pdf", "Melting_Curves/meltCurve_E5RK99_CTHRC1.pdf")</f>
        <v>Melting_Curves/meltCurve_E5RK99_CTHRC1.pdf</v>
      </c>
    </row>
    <row r="216" spans="1:28" x14ac:dyDescent="0.25">
      <c r="A216" t="s">
        <v>220</v>
      </c>
      <c r="B216">
        <v>1</v>
      </c>
      <c r="C216">
        <v>1.0457806062389601</v>
      </c>
      <c r="D216">
        <v>1.7347336668628599</v>
      </c>
      <c r="E216">
        <v>2.4931945261918802</v>
      </c>
      <c r="F216">
        <v>2.2641995291347801</v>
      </c>
      <c r="G216">
        <v>2.5989552678045902</v>
      </c>
      <c r="H216">
        <v>1.61317319011183</v>
      </c>
      <c r="I216">
        <v>2.3502795762213098</v>
      </c>
      <c r="J216">
        <v>2.3931356680400202</v>
      </c>
      <c r="K216">
        <v>2.1764640965273698</v>
      </c>
      <c r="L216">
        <v>10823.4423626937</v>
      </c>
      <c r="M216">
        <v>250</v>
      </c>
      <c r="O216">
        <v>43.290998761455199</v>
      </c>
      <c r="P216">
        <v>0.72185906549119905</v>
      </c>
      <c r="Q216">
        <v>1.5</v>
      </c>
      <c r="R216">
        <v>-0.55632132074501095</v>
      </c>
      <c r="S216" t="s">
        <v>2090</v>
      </c>
      <c r="T216" t="s">
        <v>3746</v>
      </c>
      <c r="U216" t="s">
        <v>3746</v>
      </c>
      <c r="V216" t="s">
        <v>3746</v>
      </c>
      <c r="W216" t="s">
        <v>3960</v>
      </c>
      <c r="X216">
        <v>3</v>
      </c>
      <c r="Y216" t="s">
        <v>5817</v>
      </c>
      <c r="Z216" t="s">
        <v>7604</v>
      </c>
      <c r="AA216">
        <v>1.4450658525384901</v>
      </c>
      <c r="AB216" t="str">
        <f>HYPERLINK("Melting_Curves/meltCurve_E7EM64_COPS6.pdf", "Melting_Curves/meltCurve_E7EM64_COPS6.pdf")</f>
        <v>Melting_Curves/meltCurve_E7EM64_COPS6.pdf</v>
      </c>
    </row>
    <row r="217" spans="1:28" x14ac:dyDescent="0.25">
      <c r="A217" t="s">
        <v>221</v>
      </c>
      <c r="B217">
        <v>1</v>
      </c>
      <c r="C217">
        <v>1.0939998691356401</v>
      </c>
      <c r="D217">
        <v>1.82712818163973</v>
      </c>
      <c r="E217">
        <v>2.4811882483805499</v>
      </c>
      <c r="F217">
        <v>1.8052738336714</v>
      </c>
      <c r="G217">
        <v>2.0257802787410899</v>
      </c>
      <c r="H217">
        <v>1.6402538768566399</v>
      </c>
      <c r="I217">
        <v>2.3877510959890098</v>
      </c>
      <c r="J217">
        <v>2.5328796702218201</v>
      </c>
      <c r="K217">
        <v>2.3929856703526799</v>
      </c>
      <c r="S217" t="s">
        <v>2091</v>
      </c>
      <c r="T217" t="s">
        <v>3746</v>
      </c>
      <c r="U217" t="s">
        <v>3747</v>
      </c>
      <c r="V217" t="s">
        <v>3746</v>
      </c>
      <c r="W217" t="s">
        <v>3961</v>
      </c>
      <c r="X217">
        <v>3</v>
      </c>
      <c r="Y217" t="s">
        <v>5818</v>
      </c>
      <c r="Z217" t="s">
        <v>7605</v>
      </c>
      <c r="AB217" t="str">
        <f>HYPERLINK("Melting_Curves/meltCurve_E7EMB1_SWAP70.pdf", "Melting_Curves/meltCurve_E7EMB1_SWAP70.pdf")</f>
        <v>Melting_Curves/meltCurve_E7EMB1_SWAP70.pdf</v>
      </c>
    </row>
    <row r="218" spans="1:28" x14ac:dyDescent="0.25">
      <c r="A218" t="s">
        <v>222</v>
      </c>
      <c r="B218">
        <v>1</v>
      </c>
      <c r="C218">
        <v>0.98726611926234997</v>
      </c>
      <c r="D218">
        <v>1.57787050747072</v>
      </c>
      <c r="E218">
        <v>1.6116570197873199</v>
      </c>
      <c r="F218">
        <v>1.22896755956387</v>
      </c>
      <c r="G218">
        <v>1.3651904697805901</v>
      </c>
      <c r="H218">
        <v>0.71638174720689196</v>
      </c>
      <c r="I218">
        <v>1.3216583658635099</v>
      </c>
      <c r="J218">
        <v>1.2910216718266301</v>
      </c>
      <c r="K218">
        <v>1.1686364248216401</v>
      </c>
      <c r="L218">
        <v>11031.290213431201</v>
      </c>
      <c r="M218">
        <v>250</v>
      </c>
      <c r="O218">
        <v>44.1223371478888</v>
      </c>
      <c r="P218">
        <v>0.40395022904812999</v>
      </c>
      <c r="Q218">
        <v>1.2851716507420401</v>
      </c>
      <c r="R218">
        <v>0.20092533466396001</v>
      </c>
      <c r="S218" t="s">
        <v>2092</v>
      </c>
      <c r="T218" t="s">
        <v>3746</v>
      </c>
      <c r="U218" t="s">
        <v>3746</v>
      </c>
      <c r="V218" t="s">
        <v>3746</v>
      </c>
      <c r="W218" t="s">
        <v>3962</v>
      </c>
      <c r="X218">
        <v>3</v>
      </c>
      <c r="Y218" t="s">
        <v>5819</v>
      </c>
      <c r="Z218" t="s">
        <v>7606</v>
      </c>
      <c r="AA218">
        <v>1.245936936335188</v>
      </c>
      <c r="AB218" t="str">
        <f>HYPERLINK("Melting_Curves/meltCurve_E7EMB6_DNPEP.pdf", "Melting_Curves/meltCurve_E7EMB6_DNPEP.pdf")</f>
        <v>Melting_Curves/meltCurve_E7EMB6_DNPEP.pdf</v>
      </c>
    </row>
    <row r="219" spans="1:28" x14ac:dyDescent="0.25">
      <c r="A219" t="s">
        <v>223</v>
      </c>
      <c r="B219">
        <v>1</v>
      </c>
      <c r="C219">
        <v>1.3753426290072699</v>
      </c>
      <c r="D219">
        <v>2.1111309736622599</v>
      </c>
      <c r="E219">
        <v>2.9680014301036799</v>
      </c>
      <c r="F219">
        <v>2.7112978190918802</v>
      </c>
      <c r="G219">
        <v>2.7110594684781302</v>
      </c>
      <c r="H219">
        <v>1.72297699916577</v>
      </c>
      <c r="I219">
        <v>2.41258491240615</v>
      </c>
      <c r="J219">
        <v>2.8294005482064102</v>
      </c>
      <c r="K219">
        <v>2.08848766535574</v>
      </c>
      <c r="L219">
        <v>10677.712578209001</v>
      </c>
      <c r="M219">
        <v>250</v>
      </c>
      <c r="O219">
        <v>42.708117102720301</v>
      </c>
      <c r="P219">
        <v>0.73171102257227405</v>
      </c>
      <c r="Q219">
        <v>1.5</v>
      </c>
      <c r="R219">
        <v>-1.1571226641072201</v>
      </c>
      <c r="S219" t="s">
        <v>2093</v>
      </c>
      <c r="T219" t="s">
        <v>3746</v>
      </c>
      <c r="U219" t="s">
        <v>3746</v>
      </c>
      <c r="V219" t="s">
        <v>3746</v>
      </c>
      <c r="W219" t="s">
        <v>3963</v>
      </c>
      <c r="X219">
        <v>2</v>
      </c>
      <c r="Y219" t="s">
        <v>5820</v>
      </c>
      <c r="Z219" t="s">
        <v>7607</v>
      </c>
      <c r="AA219">
        <v>1.4547816829052831</v>
      </c>
      <c r="AB219" t="str">
        <f>HYPERLINK("Melting_Curves/meltCurve_E7EMV0_DIAPH1.pdf", "Melting_Curves/meltCurve_E7EMV0_DIAPH1.pdf")</f>
        <v>Melting_Curves/meltCurve_E7EMV0_DIAPH1.pdf</v>
      </c>
    </row>
    <row r="220" spans="1:28" x14ac:dyDescent="0.25">
      <c r="A220" t="s">
        <v>224</v>
      </c>
      <c r="B220">
        <v>1</v>
      </c>
      <c r="C220">
        <v>1.0816729958903399</v>
      </c>
      <c r="D220">
        <v>1.6981740623211801</v>
      </c>
      <c r="E220">
        <v>2.2499869947458802</v>
      </c>
      <c r="F220">
        <v>1.7934505540238299</v>
      </c>
      <c r="G220">
        <v>2.0555844561202701</v>
      </c>
      <c r="H220">
        <v>1.2745669250377201</v>
      </c>
      <c r="I220">
        <v>1.7722259792956401</v>
      </c>
      <c r="J220">
        <v>1.81511730739219</v>
      </c>
      <c r="K220">
        <v>1.73430265827394</v>
      </c>
      <c r="L220">
        <v>10795.0786915803</v>
      </c>
      <c r="M220">
        <v>250</v>
      </c>
      <c r="O220">
        <v>43.177532168692203</v>
      </c>
      <c r="P220">
        <v>0.72375572129003896</v>
      </c>
      <c r="Q220">
        <v>1.5</v>
      </c>
      <c r="R220">
        <v>0.13985181298772301</v>
      </c>
      <c r="S220" t="s">
        <v>2094</v>
      </c>
      <c r="T220" t="s">
        <v>3746</v>
      </c>
      <c r="U220" t="s">
        <v>3746</v>
      </c>
      <c r="V220" t="s">
        <v>3746</v>
      </c>
      <c r="W220" t="s">
        <v>3964</v>
      </c>
      <c r="X220">
        <v>5</v>
      </c>
      <c r="Y220" t="s">
        <v>5821</v>
      </c>
      <c r="Z220" t="s">
        <v>7608</v>
      </c>
      <c r="AA220">
        <v>1.44695686349874</v>
      </c>
      <c r="AB220" t="str">
        <f>HYPERLINK("Melting_Curves/meltCurve_E7END6_PROC.pdf", "Melting_Curves/meltCurve_E7END6_PROC.pdf")</f>
        <v>Melting_Curves/meltCurve_E7END6_PROC.pdf</v>
      </c>
    </row>
    <row r="221" spans="1:28" x14ac:dyDescent="0.25">
      <c r="A221" t="s">
        <v>225</v>
      </c>
      <c r="B221">
        <v>1</v>
      </c>
      <c r="C221">
        <v>1.0480387836051099</v>
      </c>
      <c r="D221">
        <v>2.25038930512707</v>
      </c>
      <c r="E221">
        <v>2.7620684589393298</v>
      </c>
      <c r="F221">
        <v>1.5451153224621701</v>
      </c>
      <c r="G221">
        <v>1.2219773762303501</v>
      </c>
      <c r="H221">
        <v>1.0429557808138701</v>
      </c>
      <c r="I221">
        <v>1.3875128544145701</v>
      </c>
      <c r="J221">
        <v>2.3773174673130599</v>
      </c>
      <c r="K221">
        <v>2.1205229910386398</v>
      </c>
      <c r="L221">
        <v>10821.160207635799</v>
      </c>
      <c r="M221">
        <v>250</v>
      </c>
      <c r="O221">
        <v>43.281871076899797</v>
      </c>
      <c r="P221">
        <v>0.72201130372500899</v>
      </c>
      <c r="Q221">
        <v>1.5</v>
      </c>
      <c r="R221">
        <v>3.8842913965244801E-2</v>
      </c>
      <c r="S221" t="s">
        <v>2095</v>
      </c>
      <c r="T221" t="s">
        <v>3746</v>
      </c>
      <c r="U221" t="s">
        <v>3746</v>
      </c>
      <c r="V221" t="s">
        <v>3746</v>
      </c>
      <c r="W221" t="s">
        <v>3965</v>
      </c>
      <c r="X221">
        <v>2</v>
      </c>
      <c r="Y221" t="s">
        <v>5822</v>
      </c>
      <c r="Z221" t="s">
        <v>7609</v>
      </c>
      <c r="AA221">
        <v>1.445218004219144</v>
      </c>
      <c r="AB221" t="str">
        <f>HYPERLINK("Melting_Curves/meltCurve_E7ENN3_SYNE1.pdf", "Melting_Curves/meltCurve_E7ENN3_SYNE1.pdf")</f>
        <v>Melting_Curves/meltCurve_E7ENN3_SYNE1.pdf</v>
      </c>
    </row>
    <row r="222" spans="1:28" x14ac:dyDescent="0.25">
      <c r="A222" t="s">
        <v>226</v>
      </c>
      <c r="B222">
        <v>1</v>
      </c>
      <c r="C222">
        <v>1.0890506082995399</v>
      </c>
      <c r="D222">
        <v>1.7286817399033401</v>
      </c>
      <c r="E222">
        <v>2.6652963724237502</v>
      </c>
      <c r="F222">
        <v>2.0442753180378901</v>
      </c>
      <c r="G222">
        <v>2.6294650297205702</v>
      </c>
      <c r="H222">
        <v>1.6634075884673101</v>
      </c>
      <c r="I222">
        <v>2.8400644408644</v>
      </c>
      <c r="J222">
        <v>2.9510582745403</v>
      </c>
      <c r="K222">
        <v>2.9220043330926102</v>
      </c>
      <c r="S222" t="s">
        <v>2096</v>
      </c>
      <c r="T222" t="s">
        <v>3746</v>
      </c>
      <c r="U222" t="s">
        <v>3747</v>
      </c>
      <c r="V222" t="s">
        <v>3746</v>
      </c>
      <c r="W222" t="s">
        <v>3966</v>
      </c>
      <c r="X222">
        <v>5</v>
      </c>
      <c r="Y222" t="s">
        <v>5823</v>
      </c>
      <c r="Z222" t="s">
        <v>7610</v>
      </c>
      <c r="AB222" t="str">
        <f>HYPERLINK("Melting_Curves/meltCurve_E7ENZ3_CCT5.pdf", "Melting_Curves/meltCurve_E7ENZ3_CCT5.pdf")</f>
        <v>Melting_Curves/meltCurve_E7ENZ3_CCT5.pdf</v>
      </c>
    </row>
    <row r="223" spans="1:28" x14ac:dyDescent="0.25">
      <c r="A223" t="s">
        <v>227</v>
      </c>
      <c r="B223">
        <v>1</v>
      </c>
      <c r="C223">
        <v>1.2036708728751699</v>
      </c>
      <c r="D223">
        <v>1.9885806653457101</v>
      </c>
      <c r="E223">
        <v>2.8356450099071902</v>
      </c>
      <c r="F223">
        <v>2.2749504640734202</v>
      </c>
      <c r="G223">
        <v>3.4346125769110398</v>
      </c>
      <c r="H223">
        <v>2.5839503597872602</v>
      </c>
      <c r="I223">
        <v>3.3805923453957698</v>
      </c>
      <c r="J223">
        <v>2.9438940452601901</v>
      </c>
      <c r="K223">
        <v>2.6029825842110799</v>
      </c>
      <c r="L223">
        <v>10741.085971050499</v>
      </c>
      <c r="M223">
        <v>250</v>
      </c>
      <c r="O223">
        <v>42.961594373878597</v>
      </c>
      <c r="P223">
        <v>0.72739386039655196</v>
      </c>
      <c r="Q223">
        <v>1.5</v>
      </c>
      <c r="R223">
        <v>-1.3332748823266101</v>
      </c>
      <c r="S223" t="s">
        <v>2097</v>
      </c>
      <c r="T223" t="s">
        <v>3746</v>
      </c>
      <c r="U223" t="s">
        <v>3746</v>
      </c>
      <c r="V223" t="s">
        <v>3746</v>
      </c>
      <c r="W223" t="s">
        <v>3967</v>
      </c>
      <c r="X223">
        <v>2</v>
      </c>
      <c r="Y223" t="s">
        <v>5824</v>
      </c>
      <c r="Z223" t="s">
        <v>7611</v>
      </c>
      <c r="AA223">
        <v>1.4505565676970571</v>
      </c>
      <c r="AB223" t="str">
        <f>HYPERLINK("Melting_Curves/meltCurve_E7EPB3_RPL14.pdf", "Melting_Curves/meltCurve_E7EPB3_RPL14.pdf")</f>
        <v>Melting_Curves/meltCurve_E7EPB3_RPL14.pdf</v>
      </c>
    </row>
    <row r="224" spans="1:28" x14ac:dyDescent="0.25">
      <c r="A224" t="s">
        <v>228</v>
      </c>
      <c r="B224">
        <v>1</v>
      </c>
      <c r="C224">
        <v>1.1895912703201199</v>
      </c>
      <c r="D224">
        <v>1.7761037080452999</v>
      </c>
      <c r="E224">
        <v>2.23137788963782</v>
      </c>
      <c r="F224">
        <v>1.41660776776018</v>
      </c>
      <c r="G224">
        <v>1.59121860400972</v>
      </c>
      <c r="H224">
        <v>1.0819528004275201</v>
      </c>
      <c r="I224">
        <v>1.63669430605596</v>
      </c>
      <c r="J224">
        <v>1.59576962195521</v>
      </c>
      <c r="K224">
        <v>1.5410367356789501</v>
      </c>
      <c r="L224">
        <v>10746.150500321801</v>
      </c>
      <c r="M224">
        <v>250</v>
      </c>
      <c r="O224">
        <v>42.981851226472003</v>
      </c>
      <c r="P224">
        <v>0.727051048568508</v>
      </c>
      <c r="Q224">
        <v>1.5</v>
      </c>
      <c r="R224">
        <v>0.29402959782274801</v>
      </c>
      <c r="S224" t="s">
        <v>2098</v>
      </c>
      <c r="T224" t="s">
        <v>3746</v>
      </c>
      <c r="U224" t="s">
        <v>3746</v>
      </c>
      <c r="V224" t="s">
        <v>3746</v>
      </c>
      <c r="W224" t="s">
        <v>3968</v>
      </c>
      <c r="X224">
        <v>2</v>
      </c>
      <c r="Y224" t="s">
        <v>5825</v>
      </c>
      <c r="Z224" t="s">
        <v>7612</v>
      </c>
      <c r="AA224">
        <v>1.4502189146386071</v>
      </c>
      <c r="AB224" t="str">
        <f>HYPERLINK("Melting_Curves/meltCurve_E7EPD0_TOM1.pdf", "Melting_Curves/meltCurve_E7EPD0_TOM1.pdf")</f>
        <v>Melting_Curves/meltCurve_E7EPD0_TOM1.pdf</v>
      </c>
    </row>
    <row r="225" spans="1:28" x14ac:dyDescent="0.25">
      <c r="A225" t="s">
        <v>229</v>
      </c>
      <c r="B225">
        <v>1</v>
      </c>
      <c r="C225">
        <v>1.10870512373649</v>
      </c>
      <c r="D225">
        <v>1.2113105611711401</v>
      </c>
      <c r="E225">
        <v>1.3417567096549301</v>
      </c>
      <c r="F225">
        <v>1.0780324154757801</v>
      </c>
      <c r="G225">
        <v>1.2372342279539901</v>
      </c>
      <c r="H225">
        <v>0.65497560125479304</v>
      </c>
      <c r="I225">
        <v>0.96392471244335998</v>
      </c>
      <c r="J225">
        <v>0.96340188218891598</v>
      </c>
      <c r="K225">
        <v>0.87308295573370498</v>
      </c>
      <c r="L225">
        <v>2455.6595773545</v>
      </c>
      <c r="M225">
        <v>41.544838390886</v>
      </c>
      <c r="O225">
        <v>58.972191969667101</v>
      </c>
      <c r="P225">
        <v>-2.0947751984592901E-2</v>
      </c>
      <c r="Q225">
        <v>0.88106029015890597</v>
      </c>
      <c r="R225">
        <v>9.09499377218147E-2</v>
      </c>
      <c r="S225" t="s">
        <v>2099</v>
      </c>
      <c r="T225" t="s">
        <v>3746</v>
      </c>
      <c r="U225" t="s">
        <v>3746</v>
      </c>
      <c r="V225" t="s">
        <v>3746</v>
      </c>
      <c r="W225" t="s">
        <v>3969</v>
      </c>
      <c r="X225">
        <v>1</v>
      </c>
      <c r="Y225" t="s">
        <v>5826</v>
      </c>
      <c r="Z225" t="s">
        <v>7613</v>
      </c>
      <c r="AA225">
        <v>0.95725679485638793</v>
      </c>
      <c r="AB225" t="str">
        <f>HYPERLINK("Melting_Curves/meltCurve_E7EQR8_YIPF3.pdf", "Melting_Curves/meltCurve_E7EQR8_YIPF3.pdf")</f>
        <v>Melting_Curves/meltCurve_E7EQR8_YIPF3.pdf</v>
      </c>
    </row>
    <row r="226" spans="1:28" x14ac:dyDescent="0.25">
      <c r="A226" t="s">
        <v>230</v>
      </c>
      <c r="B226">
        <v>1</v>
      </c>
      <c r="C226">
        <v>1.08826194138345</v>
      </c>
      <c r="D226">
        <v>1.50331851414846</v>
      </c>
      <c r="E226">
        <v>1.9117591285476501</v>
      </c>
      <c r="F226">
        <v>1.5363772360464401</v>
      </c>
      <c r="G226">
        <v>2.02469395925075</v>
      </c>
      <c r="H226">
        <v>2.3764775289184801</v>
      </c>
      <c r="I226">
        <v>2.4194601883651798</v>
      </c>
      <c r="J226">
        <v>2.1676745117043499</v>
      </c>
      <c r="K226">
        <v>2.1725205958576499</v>
      </c>
      <c r="L226">
        <v>10791.069359486801</v>
      </c>
      <c r="M226">
        <v>250</v>
      </c>
      <c r="O226">
        <v>43.161525270598503</v>
      </c>
      <c r="P226">
        <v>0.72402462836952597</v>
      </c>
      <c r="Q226">
        <v>1.5</v>
      </c>
      <c r="R226">
        <v>-0.257035718795531</v>
      </c>
      <c r="S226" t="s">
        <v>2100</v>
      </c>
      <c r="T226" t="s">
        <v>3746</v>
      </c>
      <c r="U226" t="s">
        <v>3746</v>
      </c>
      <c r="V226" t="s">
        <v>3746</v>
      </c>
      <c r="W226" t="s">
        <v>3970</v>
      </c>
      <c r="X226">
        <v>2</v>
      </c>
      <c r="Y226" t="s">
        <v>5827</v>
      </c>
      <c r="Z226" t="s">
        <v>7614</v>
      </c>
      <c r="AA226">
        <v>1.4472241663769989</v>
      </c>
      <c r="AB226" t="str">
        <f>HYPERLINK("Melting_Curves/meltCurve_E7EQV9_RPL15.pdf", "Melting_Curves/meltCurve_E7EQV9_RPL15.pdf")</f>
        <v>Melting_Curves/meltCurve_E7EQV9_RPL15.pdf</v>
      </c>
    </row>
    <row r="227" spans="1:28" x14ac:dyDescent="0.25">
      <c r="A227" t="s">
        <v>231</v>
      </c>
      <c r="B227">
        <v>1</v>
      </c>
      <c r="C227">
        <v>0.90589925255033699</v>
      </c>
      <c r="D227">
        <v>1.1059820319918201</v>
      </c>
      <c r="E227">
        <v>1.4119981496360099</v>
      </c>
      <c r="F227">
        <v>1.1263969030750101</v>
      </c>
      <c r="G227">
        <v>1.32848830131717</v>
      </c>
      <c r="H227">
        <v>0.97959730236408304</v>
      </c>
      <c r="I227">
        <v>1.51340296545176</v>
      </c>
      <c r="J227">
        <v>1.6300245903635</v>
      </c>
      <c r="K227">
        <v>1.54834075913617</v>
      </c>
      <c r="L227">
        <v>494.00118046092001</v>
      </c>
      <c r="M227">
        <v>9.1698620724199298</v>
      </c>
      <c r="O227">
        <v>51.495816491625099</v>
      </c>
      <c r="P227">
        <v>2.2273814133945101E-2</v>
      </c>
      <c r="Q227">
        <v>1.5</v>
      </c>
      <c r="R227">
        <v>0.50537019595124399</v>
      </c>
      <c r="S227" t="s">
        <v>2101</v>
      </c>
      <c r="T227" t="s">
        <v>3746</v>
      </c>
      <c r="U227" t="s">
        <v>3746</v>
      </c>
      <c r="V227" t="s">
        <v>3746</v>
      </c>
      <c r="W227" t="s">
        <v>3971</v>
      </c>
      <c r="X227">
        <v>3</v>
      </c>
      <c r="Y227" t="s">
        <v>5828</v>
      </c>
      <c r="Z227" t="s">
        <v>7615</v>
      </c>
      <c r="AA227">
        <v>1.252527737127108</v>
      </c>
      <c r="AB227" t="str">
        <f>HYPERLINK("Melting_Curves/meltCurve_E7ER27_HSD17B4.pdf", "Melting_Curves/meltCurve_E7ER27_HSD17B4.pdf")</f>
        <v>Melting_Curves/meltCurve_E7ER27_HSD17B4.pdf</v>
      </c>
    </row>
    <row r="228" spans="1:28" x14ac:dyDescent="0.25">
      <c r="A228" t="s">
        <v>232</v>
      </c>
      <c r="B228">
        <v>1</v>
      </c>
      <c r="C228">
        <v>0.93382383679612102</v>
      </c>
      <c r="D228">
        <v>1.3497345428702801</v>
      </c>
      <c r="E228">
        <v>1.50487019773421</v>
      </c>
      <c r="F228">
        <v>1.3259061076042</v>
      </c>
      <c r="G228">
        <v>1.51143346850048</v>
      </c>
      <c r="H228">
        <v>0.66389364993102296</v>
      </c>
      <c r="I228">
        <v>1.1246603402867801</v>
      </c>
      <c r="J228">
        <v>1.16985075874754</v>
      </c>
      <c r="K228">
        <v>1.0248317378036</v>
      </c>
      <c r="L228">
        <v>11083.7516290817</v>
      </c>
      <c r="M228">
        <v>250</v>
      </c>
      <c r="O228">
        <v>44.332170446498601</v>
      </c>
      <c r="P228">
        <v>0.29520984074114298</v>
      </c>
      <c r="Q228">
        <v>1.20939668230718</v>
      </c>
      <c r="R228">
        <v>0.14168526548788701</v>
      </c>
      <c r="S228" t="s">
        <v>2102</v>
      </c>
      <c r="T228" t="s">
        <v>3746</v>
      </c>
      <c r="U228" t="s">
        <v>3746</v>
      </c>
      <c r="V228" t="s">
        <v>3746</v>
      </c>
      <c r="W228" t="s">
        <v>3972</v>
      </c>
      <c r="X228">
        <v>3</v>
      </c>
      <c r="Y228" t="s">
        <v>5829</v>
      </c>
      <c r="Z228" t="s">
        <v>7616</v>
      </c>
      <c r="AA228">
        <v>1.1791225236512879</v>
      </c>
      <c r="AB228" t="str">
        <f>HYPERLINK("Melting_Curves/meltCurve_E7ERV9_ASAH1.pdf", "Melting_Curves/meltCurve_E7ERV9_ASAH1.pdf")</f>
        <v>Melting_Curves/meltCurve_E7ERV9_ASAH1.pdf</v>
      </c>
    </row>
    <row r="229" spans="1:28" x14ac:dyDescent="0.25">
      <c r="A229" t="s">
        <v>233</v>
      </c>
      <c r="B229">
        <v>1</v>
      </c>
      <c r="C229">
        <v>1.2932690968837901</v>
      </c>
      <c r="D229">
        <v>2.5191456180901701</v>
      </c>
      <c r="E229">
        <v>2.8538806427357999</v>
      </c>
      <c r="F229">
        <v>1.86994903784567</v>
      </c>
      <c r="G229">
        <v>2.1816814726113201</v>
      </c>
      <c r="H229">
        <v>1.4180567545740601</v>
      </c>
      <c r="I229">
        <v>2.1603497730373999</v>
      </c>
      <c r="J229">
        <v>2.0439444150491499</v>
      </c>
      <c r="K229">
        <v>1.9276226015762099</v>
      </c>
      <c r="L229">
        <v>10709.998995280899</v>
      </c>
      <c r="M229">
        <v>250</v>
      </c>
      <c r="O229">
        <v>42.837253002962903</v>
      </c>
      <c r="P229">
        <v>0.72950520281326703</v>
      </c>
      <c r="Q229">
        <v>1.5</v>
      </c>
      <c r="R229">
        <v>-0.53342008712058198</v>
      </c>
      <c r="S229" t="s">
        <v>2103</v>
      </c>
      <c r="T229" t="s">
        <v>3746</v>
      </c>
      <c r="U229" t="s">
        <v>3746</v>
      </c>
      <c r="V229" t="s">
        <v>3746</v>
      </c>
      <c r="W229" t="s">
        <v>3973</v>
      </c>
      <c r="X229">
        <v>9</v>
      </c>
      <c r="Y229" t="s">
        <v>5830</v>
      </c>
      <c r="Z229" t="s">
        <v>7617</v>
      </c>
      <c r="AA229">
        <v>1.4526291418365029</v>
      </c>
      <c r="AB229" t="str">
        <f>HYPERLINK("Melting_Curves/meltCurve_E7ES19_THBS4.pdf", "Melting_Curves/meltCurve_E7ES19_THBS4.pdf")</f>
        <v>Melting_Curves/meltCurve_E7ES19_THBS4.pdf</v>
      </c>
    </row>
    <row r="230" spans="1:28" x14ac:dyDescent="0.25">
      <c r="A230" t="s">
        <v>234</v>
      </c>
      <c r="B230">
        <v>1</v>
      </c>
      <c r="C230">
        <v>0.939852464557692</v>
      </c>
      <c r="D230">
        <v>1.3862167697293899</v>
      </c>
      <c r="E230">
        <v>1.80683196468693</v>
      </c>
      <c r="F230">
        <v>1.1125603960789801</v>
      </c>
      <c r="G230">
        <v>1.4557493090489699</v>
      </c>
      <c r="H230">
        <v>0.89929015966436698</v>
      </c>
      <c r="I230">
        <v>1.4766866164277299</v>
      </c>
      <c r="J230">
        <v>1.4517924959735899</v>
      </c>
      <c r="K230">
        <v>1.46338456644066</v>
      </c>
      <c r="L230">
        <v>11156.4844107549</v>
      </c>
      <c r="M230">
        <v>250</v>
      </c>
      <c r="O230">
        <v>44.6230892700504</v>
      </c>
      <c r="P230">
        <v>0.53446358679393602</v>
      </c>
      <c r="Q230">
        <v>1.3815905980336001</v>
      </c>
      <c r="R230">
        <v>0.34308997176726902</v>
      </c>
      <c r="S230" t="s">
        <v>2104</v>
      </c>
      <c r="T230" t="s">
        <v>3746</v>
      </c>
      <c r="U230" t="s">
        <v>3746</v>
      </c>
      <c r="V230" t="s">
        <v>3746</v>
      </c>
      <c r="W230" t="s">
        <v>3974</v>
      </c>
      <c r="X230">
        <v>9</v>
      </c>
      <c r="Y230" t="s">
        <v>5831</v>
      </c>
      <c r="Z230" t="s">
        <v>7618</v>
      </c>
      <c r="AA230">
        <v>1.3227202356319949</v>
      </c>
      <c r="AB230" t="str">
        <f>HYPERLINK("Melting_Curves/meltCurve_E7ETU9_PLOD2.pdf", "Melting_Curves/meltCurve_E7ETU9_PLOD2.pdf")</f>
        <v>Melting_Curves/meltCurve_E7ETU9_PLOD2.pdf</v>
      </c>
    </row>
    <row r="231" spans="1:28" x14ac:dyDescent="0.25">
      <c r="A231" t="s">
        <v>235</v>
      </c>
      <c r="B231">
        <v>1</v>
      </c>
      <c r="C231">
        <v>1.10029748684193</v>
      </c>
      <c r="D231">
        <v>1.3409522271130301</v>
      </c>
      <c r="E231">
        <v>1.49147249256283</v>
      </c>
      <c r="F231">
        <v>1.9180497785674899</v>
      </c>
      <c r="G231">
        <v>1.30439230572494</v>
      </c>
      <c r="H231">
        <v>0.81775229172555797</v>
      </c>
      <c r="I231">
        <v>1.08757689563731</v>
      </c>
      <c r="J231">
        <v>1.2008507316022601</v>
      </c>
      <c r="K231">
        <v>1.04828440280526</v>
      </c>
      <c r="L231">
        <v>10749.092549405201</v>
      </c>
      <c r="M231">
        <v>250</v>
      </c>
      <c r="O231">
        <v>42.993612778112599</v>
      </c>
      <c r="P231">
        <v>0.40146421781992497</v>
      </c>
      <c r="Q231">
        <v>1.27616639189822</v>
      </c>
      <c r="R231">
        <v>0.101663891296099</v>
      </c>
      <c r="S231" t="s">
        <v>2105</v>
      </c>
      <c r="T231" t="s">
        <v>3746</v>
      </c>
      <c r="U231" t="s">
        <v>3746</v>
      </c>
      <c r="V231" t="s">
        <v>3746</v>
      </c>
      <c r="W231" t="s">
        <v>3975</v>
      </c>
      <c r="X231">
        <v>5</v>
      </c>
      <c r="Y231" t="s">
        <v>5832</v>
      </c>
      <c r="Z231" t="s">
        <v>7619</v>
      </c>
      <c r="AA231">
        <v>1.2485623280599021</v>
      </c>
      <c r="AB231" t="str">
        <f>HYPERLINK("Melting_Curves/meltCurve_E7ETZ0_CALM1.pdf", "Melting_Curves/meltCurve_E7ETZ0_CALM1.pdf")</f>
        <v>Melting_Curves/meltCurve_E7ETZ0_CALM1.pdf</v>
      </c>
    </row>
    <row r="232" spans="1:28" x14ac:dyDescent="0.25">
      <c r="A232" t="s">
        <v>236</v>
      </c>
      <c r="B232">
        <v>1</v>
      </c>
      <c r="C232">
        <v>0.87103643603994996</v>
      </c>
      <c r="D232">
        <v>1.20807512936817</v>
      </c>
      <c r="E232">
        <v>1.26857471411231</v>
      </c>
      <c r="F232">
        <v>0.66877488873272395</v>
      </c>
      <c r="G232">
        <v>0.71590110521944705</v>
      </c>
      <c r="H232">
        <v>0.51259609446538501</v>
      </c>
      <c r="I232">
        <v>0.67299133286484003</v>
      </c>
      <c r="J232">
        <v>0.72346089141591596</v>
      </c>
      <c r="K232">
        <v>0.69411614387018505</v>
      </c>
      <c r="L232">
        <v>13032.5342887469</v>
      </c>
      <c r="M232">
        <v>250</v>
      </c>
      <c r="O232">
        <v>52.126798344951403</v>
      </c>
      <c r="P232">
        <v>-0.40318581059751102</v>
      </c>
      <c r="Q232">
        <v>0.66373141502849697</v>
      </c>
      <c r="R232">
        <v>0.71033497795563905</v>
      </c>
      <c r="S232" t="s">
        <v>2106</v>
      </c>
      <c r="T232" t="s">
        <v>3746</v>
      </c>
      <c r="U232" t="s">
        <v>3746</v>
      </c>
      <c r="V232" t="s">
        <v>3746</v>
      </c>
      <c r="W232" t="s">
        <v>3976</v>
      </c>
      <c r="X232">
        <v>4</v>
      </c>
      <c r="Y232" t="s">
        <v>5833</v>
      </c>
      <c r="Z232" t="s">
        <v>7620</v>
      </c>
      <c r="AA232">
        <v>0.79972831464795646</v>
      </c>
      <c r="AB232" t="str">
        <f>HYPERLINK("Melting_Curves/meltCurve_E7EU05_CD36.pdf", "Melting_Curves/meltCurve_E7EU05_CD36.pdf")</f>
        <v>Melting_Curves/meltCurve_E7EU05_CD36.pdf</v>
      </c>
    </row>
    <row r="233" spans="1:28" x14ac:dyDescent="0.25">
      <c r="A233" t="s">
        <v>237</v>
      </c>
      <c r="B233">
        <v>1</v>
      </c>
      <c r="C233">
        <v>0.92971198048597403</v>
      </c>
      <c r="D233">
        <v>1.21080776808331</v>
      </c>
      <c r="E233">
        <v>1.42471151139882</v>
      </c>
      <c r="F233">
        <v>1.04728398536448</v>
      </c>
      <c r="G233">
        <v>1.2989023360540399</v>
      </c>
      <c r="H233">
        <v>0.72365137442536798</v>
      </c>
      <c r="I233">
        <v>1.1475748194014399</v>
      </c>
      <c r="J233">
        <v>1.05441411014166</v>
      </c>
      <c r="K233">
        <v>0.95543672014260295</v>
      </c>
      <c r="L233">
        <v>15000</v>
      </c>
      <c r="M233">
        <v>211.220360623202</v>
      </c>
      <c r="Q233">
        <v>0</v>
      </c>
      <c r="R233">
        <v>-0.16818199486701299</v>
      </c>
      <c r="S233" t="s">
        <v>2107</v>
      </c>
      <c r="T233" t="s">
        <v>3746</v>
      </c>
      <c r="U233" t="s">
        <v>3746</v>
      </c>
      <c r="V233" t="s">
        <v>3746</v>
      </c>
      <c r="W233" t="s">
        <v>3977</v>
      </c>
      <c r="X233">
        <v>1</v>
      </c>
      <c r="Y233" t="s">
        <v>5834</v>
      </c>
      <c r="Z233" t="s">
        <v>7621</v>
      </c>
      <c r="AA233">
        <v>0.9995082780818183</v>
      </c>
      <c r="AB233" t="str">
        <f>HYPERLINK("Melting_Curves/meltCurve_E7EU09_FGFR1.pdf", "Melting_Curves/meltCurve_E7EU09_FGFR1.pdf")</f>
        <v>Melting_Curves/meltCurve_E7EU09_FGFR1.pdf</v>
      </c>
    </row>
    <row r="234" spans="1:28" x14ac:dyDescent="0.25">
      <c r="A234" t="s">
        <v>238</v>
      </c>
      <c r="B234">
        <v>1</v>
      </c>
      <c r="C234">
        <v>0.98223053542202499</v>
      </c>
      <c r="D234">
        <v>1.36957968381864</v>
      </c>
      <c r="E234">
        <v>1.74669520332368</v>
      </c>
      <c r="F234">
        <v>1.2382511105915399</v>
      </c>
      <c r="G234">
        <v>1.9068002374058</v>
      </c>
      <c r="H234">
        <v>1.7023974388949801</v>
      </c>
      <c r="I234">
        <v>2.96415532094746</v>
      </c>
      <c r="J234">
        <v>3.18123774752253</v>
      </c>
      <c r="K234">
        <v>2.8828618190320299</v>
      </c>
      <c r="L234">
        <v>11452.0862206729</v>
      </c>
      <c r="M234">
        <v>250</v>
      </c>
      <c r="O234">
        <v>45.805413239337497</v>
      </c>
      <c r="P234">
        <v>0.682233772849836</v>
      </c>
      <c r="Q234">
        <v>1.5</v>
      </c>
      <c r="R234">
        <v>-0.16919951074501699</v>
      </c>
      <c r="S234" t="s">
        <v>2108</v>
      </c>
      <c r="T234" t="s">
        <v>3746</v>
      </c>
      <c r="U234" t="s">
        <v>3746</v>
      </c>
      <c r="V234" t="s">
        <v>3746</v>
      </c>
      <c r="W234" t="s">
        <v>3978</v>
      </c>
      <c r="X234">
        <v>22</v>
      </c>
      <c r="Y234" t="s">
        <v>5835</v>
      </c>
      <c r="Z234" t="s">
        <v>7622</v>
      </c>
      <c r="AA234">
        <v>1.403154055488973</v>
      </c>
      <c r="AB234" t="str">
        <f>HYPERLINK("Melting_Curves/meltCurve_E7EU23_GDI2.pdf", "Melting_Curves/meltCurve_E7EU23_GDI2.pdf")</f>
        <v>Melting_Curves/meltCurve_E7EU23_GDI2.pdf</v>
      </c>
    </row>
    <row r="235" spans="1:28" x14ac:dyDescent="0.25">
      <c r="A235" t="s">
        <v>239</v>
      </c>
      <c r="B235">
        <v>1</v>
      </c>
      <c r="C235">
        <v>0.96552978469106698</v>
      </c>
      <c r="D235">
        <v>1.40037414907069</v>
      </c>
      <c r="E235">
        <v>1.3768166149902099</v>
      </c>
      <c r="F235">
        <v>0.99234380142384504</v>
      </c>
      <c r="G235">
        <v>1.057923819092</v>
      </c>
      <c r="H235">
        <v>0.73608633143371804</v>
      </c>
      <c r="I235">
        <v>1.1566402799189299</v>
      </c>
      <c r="J235">
        <v>1.1519807382515499</v>
      </c>
      <c r="K235">
        <v>1.0317853492924101</v>
      </c>
      <c r="L235">
        <v>6192.0806176079996</v>
      </c>
      <c r="M235">
        <v>98.274058902812996</v>
      </c>
      <c r="O235">
        <v>62.982214622986497</v>
      </c>
      <c r="P235">
        <v>4.4111628829003602E-2</v>
      </c>
      <c r="Q235">
        <v>1.1130816376759001</v>
      </c>
      <c r="R235">
        <v>-0.11856823320656699</v>
      </c>
      <c r="S235" t="s">
        <v>2109</v>
      </c>
      <c r="T235" t="s">
        <v>3746</v>
      </c>
      <c r="U235" t="s">
        <v>3746</v>
      </c>
      <c r="V235" t="s">
        <v>3746</v>
      </c>
      <c r="W235" t="s">
        <v>3979</v>
      </c>
      <c r="X235">
        <v>3</v>
      </c>
      <c r="Y235" t="s">
        <v>5836</v>
      </c>
      <c r="Z235" t="s">
        <v>7623</v>
      </c>
      <c r="AA235">
        <v>1.026273605630909</v>
      </c>
      <c r="AB235" t="str">
        <f>HYPERLINK("Melting_Curves/meltCurve_E7EUG3_GGT5.pdf", "Melting_Curves/meltCurve_E7EUG3_GGT5.pdf")</f>
        <v>Melting_Curves/meltCurve_E7EUG3_GGT5.pdf</v>
      </c>
    </row>
    <row r="236" spans="1:28" x14ac:dyDescent="0.25">
      <c r="A236" t="s">
        <v>240</v>
      </c>
      <c r="B236">
        <v>1</v>
      </c>
      <c r="C236">
        <v>1.15081549968834</v>
      </c>
      <c r="D236">
        <v>1.3052410139206301</v>
      </c>
      <c r="E236">
        <v>1.52365987949304</v>
      </c>
      <c r="F236">
        <v>1.00220756285061</v>
      </c>
      <c r="G236">
        <v>1.01441408684812</v>
      </c>
      <c r="H236">
        <v>0.72714523166424305</v>
      </c>
      <c r="I236">
        <v>1.0571369208393899</v>
      </c>
      <c r="J236">
        <v>0.833264076459589</v>
      </c>
      <c r="K236">
        <v>1.0223353417826699</v>
      </c>
      <c r="L236">
        <v>6663.2219705961597</v>
      </c>
      <c r="M236">
        <v>114.196746824622</v>
      </c>
      <c r="O236">
        <v>58.330727793754001</v>
      </c>
      <c r="P236">
        <v>-4.3831726936068197E-2</v>
      </c>
      <c r="Q236">
        <v>0.91044451009111804</v>
      </c>
      <c r="R236">
        <v>-1.85972371151466E-2</v>
      </c>
      <c r="S236" t="s">
        <v>2110</v>
      </c>
      <c r="T236" t="s">
        <v>3746</v>
      </c>
      <c r="U236" t="s">
        <v>3746</v>
      </c>
      <c r="V236" t="s">
        <v>3746</v>
      </c>
      <c r="W236" t="s">
        <v>3980</v>
      </c>
      <c r="X236">
        <v>1</v>
      </c>
      <c r="Y236" t="s">
        <v>5837</v>
      </c>
      <c r="Z236" t="s">
        <v>7624</v>
      </c>
      <c r="AA236">
        <v>0.96526247037366253</v>
      </c>
      <c r="AB236" t="str">
        <f>HYPERLINK("Melting_Curves/meltCurve_E7EUL7_SSFA2.pdf", "Melting_Curves/meltCurve_E7EUL7_SSFA2.pdf")</f>
        <v>Melting_Curves/meltCurve_E7EUL7_SSFA2.pdf</v>
      </c>
    </row>
    <row r="237" spans="1:28" x14ac:dyDescent="0.25">
      <c r="A237" t="s">
        <v>241</v>
      </c>
      <c r="B237">
        <v>1</v>
      </c>
      <c r="C237">
        <v>1.0484993144076</v>
      </c>
      <c r="D237">
        <v>1.01559087908181</v>
      </c>
      <c r="E237">
        <v>1.3057742115687401</v>
      </c>
      <c r="F237">
        <v>1.1190391549438801</v>
      </c>
      <c r="G237">
        <v>1.1445838200192999</v>
      </c>
      <c r="H237">
        <v>0.73327916306942298</v>
      </c>
      <c r="I237">
        <v>1.0360570819156001</v>
      </c>
      <c r="J237">
        <v>1.0137626326748299</v>
      </c>
      <c r="K237">
        <v>0.85257224112538699</v>
      </c>
      <c r="L237">
        <v>15000</v>
      </c>
      <c r="M237">
        <v>212.53078436134601</v>
      </c>
      <c r="Q237">
        <v>0</v>
      </c>
      <c r="R237">
        <v>6.6380219440656293E-2</v>
      </c>
      <c r="S237" t="s">
        <v>2111</v>
      </c>
      <c r="T237" t="s">
        <v>3746</v>
      </c>
      <c r="U237" t="s">
        <v>3746</v>
      </c>
      <c r="V237" t="s">
        <v>3746</v>
      </c>
      <c r="W237" t="s">
        <v>3981</v>
      </c>
      <c r="X237">
        <v>2</v>
      </c>
      <c r="Y237" t="s">
        <v>5838</v>
      </c>
      <c r="Z237" t="s">
        <v>7625</v>
      </c>
      <c r="AA237">
        <v>0.99827989850053578</v>
      </c>
      <c r="AB237" t="str">
        <f>HYPERLINK("Melting_Curves/meltCurve_E7EUU1_LTBP4.pdf", "Melting_Curves/meltCurve_E7EUU1_LTBP4.pdf")</f>
        <v>Melting_Curves/meltCurve_E7EUU1_LTBP4.pdf</v>
      </c>
    </row>
    <row r="238" spans="1:28" x14ac:dyDescent="0.25">
      <c r="A238" t="s">
        <v>242</v>
      </c>
      <c r="B238">
        <v>1</v>
      </c>
      <c r="C238">
        <v>0.79102119328135201</v>
      </c>
      <c r="D238">
        <v>1.18524370556109</v>
      </c>
      <c r="E238">
        <v>1.31405214165493</v>
      </c>
      <c r="F238">
        <v>1.0021639817263801</v>
      </c>
      <c r="G238">
        <v>1.0536186583313301</v>
      </c>
      <c r="H238">
        <v>0.85150963487102005</v>
      </c>
      <c r="I238">
        <v>2.6191048672414401</v>
      </c>
      <c r="J238">
        <v>3.1587950400164901</v>
      </c>
      <c r="K238">
        <v>3.0019578882286302</v>
      </c>
      <c r="L238">
        <v>8614.1985071973704</v>
      </c>
      <c r="M238">
        <v>138.87211631247001</v>
      </c>
      <c r="O238">
        <v>62.016863565170098</v>
      </c>
      <c r="P238">
        <v>0.27990799718626802</v>
      </c>
      <c r="Q238">
        <v>1.5</v>
      </c>
      <c r="R238">
        <v>0.18015066921325501</v>
      </c>
      <c r="S238" t="s">
        <v>2112</v>
      </c>
      <c r="T238" t="s">
        <v>3746</v>
      </c>
      <c r="U238" t="s">
        <v>3746</v>
      </c>
      <c r="V238" t="s">
        <v>3746</v>
      </c>
      <c r="W238" t="s">
        <v>3982</v>
      </c>
      <c r="X238">
        <v>1</v>
      </c>
      <c r="Y238" t="s">
        <v>5839</v>
      </c>
      <c r="Z238" t="s">
        <v>7626</v>
      </c>
      <c r="AA238">
        <v>1.132661514037997</v>
      </c>
      <c r="AB238" t="str">
        <f>HYPERLINK("Melting_Curves/meltCurve_E7EVJ3_NDST1.pdf", "Melting_Curves/meltCurve_E7EVJ3_NDST1.pdf")</f>
        <v>Melting_Curves/meltCurve_E7EVJ3_NDST1.pdf</v>
      </c>
    </row>
    <row r="239" spans="1:28" x14ac:dyDescent="0.25">
      <c r="A239" t="s">
        <v>243</v>
      </c>
      <c r="B239">
        <v>1</v>
      </c>
      <c r="C239">
        <v>1.3101063280685501</v>
      </c>
      <c r="D239">
        <v>3.0412924538040702</v>
      </c>
      <c r="E239">
        <v>5.1770413956849399</v>
      </c>
      <c r="F239">
        <v>4.0920305564158204</v>
      </c>
      <c r="G239">
        <v>4.8506245483637898</v>
      </c>
      <c r="H239">
        <v>2.72530195106844</v>
      </c>
      <c r="I239">
        <v>3.8655930628677599</v>
      </c>
      <c r="J239">
        <v>4.13734902446578</v>
      </c>
      <c r="K239">
        <v>4.0717972540518197</v>
      </c>
      <c r="S239" t="s">
        <v>2113</v>
      </c>
      <c r="T239" t="s">
        <v>3746</v>
      </c>
      <c r="U239" t="s">
        <v>3747</v>
      </c>
      <c r="V239" t="s">
        <v>3746</v>
      </c>
      <c r="W239" t="s">
        <v>3983</v>
      </c>
      <c r="X239">
        <v>1</v>
      </c>
      <c r="Y239" t="s">
        <v>5840</v>
      </c>
      <c r="Z239" t="s">
        <v>7627</v>
      </c>
      <c r="AB239" t="str">
        <f>HYPERLINK("Melting_Curves/meltCurve_E7EVU7_GNPDA1.pdf", "Melting_Curves/meltCurve_E7EVU7_GNPDA1.pdf")</f>
        <v>Melting_Curves/meltCurve_E7EVU7_GNPDA1.pdf</v>
      </c>
    </row>
    <row r="240" spans="1:28" x14ac:dyDescent="0.25">
      <c r="A240" t="s">
        <v>244</v>
      </c>
      <c r="B240">
        <v>1</v>
      </c>
      <c r="C240">
        <v>0.92002521727383302</v>
      </c>
      <c r="D240">
        <v>1.2777727743504299</v>
      </c>
      <c r="E240">
        <v>1.6276399333543501</v>
      </c>
      <c r="F240">
        <v>0.86990588553158898</v>
      </c>
      <c r="G240">
        <v>0.98921511235196102</v>
      </c>
      <c r="H240">
        <v>0.83493943351195599</v>
      </c>
      <c r="I240">
        <v>1.12885576619985</v>
      </c>
      <c r="J240">
        <v>1.1881613905525299</v>
      </c>
      <c r="K240">
        <v>1.20405727923628</v>
      </c>
      <c r="L240">
        <v>11088.462273483399</v>
      </c>
      <c r="M240">
        <v>250</v>
      </c>
      <c r="O240">
        <v>44.350992767987002</v>
      </c>
      <c r="P240">
        <v>0.19739932175591801</v>
      </c>
      <c r="Q240">
        <v>1.1400777512295499</v>
      </c>
      <c r="R240">
        <v>9.5958648718608902E-2</v>
      </c>
      <c r="S240" t="s">
        <v>2114</v>
      </c>
      <c r="T240" t="s">
        <v>3746</v>
      </c>
      <c r="U240" t="s">
        <v>3746</v>
      </c>
      <c r="V240" t="s">
        <v>3746</v>
      </c>
      <c r="W240" t="s">
        <v>3984</v>
      </c>
      <c r="X240">
        <v>1</v>
      </c>
      <c r="Y240" t="s">
        <v>5841</v>
      </c>
      <c r="Z240" t="s">
        <v>7628</v>
      </c>
      <c r="AA240">
        <v>1.1197376011909199</v>
      </c>
      <c r="AB240" t="str">
        <f>HYPERLINK("Melting_Curves/meltCurve_E7EW20_MYO6.pdf", "Melting_Curves/meltCurve_E7EW20_MYO6.pdf")</f>
        <v>Melting_Curves/meltCurve_E7EW20_MYO6.pdf</v>
      </c>
    </row>
    <row r="241" spans="1:28" x14ac:dyDescent="0.25">
      <c r="A241" t="s">
        <v>245</v>
      </c>
      <c r="B241">
        <v>1</v>
      </c>
      <c r="C241">
        <v>0.91992619926199304</v>
      </c>
      <c r="D241">
        <v>1.4559688840131599</v>
      </c>
      <c r="E241">
        <v>2.1682457365114201</v>
      </c>
      <c r="F241">
        <v>1.41168844120874</v>
      </c>
      <c r="G241">
        <v>1.7399022638874999</v>
      </c>
      <c r="H241">
        <v>1.0919517303281101</v>
      </c>
      <c r="I241">
        <v>2.1250623317044002</v>
      </c>
      <c r="J241">
        <v>1.81111000299192</v>
      </c>
      <c r="K241">
        <v>1.70449785578937</v>
      </c>
      <c r="L241">
        <v>11392.4739237754</v>
      </c>
      <c r="M241">
        <v>250</v>
      </c>
      <c r="O241">
        <v>45.566979611609</v>
      </c>
      <c r="P241">
        <v>0.68580363155614099</v>
      </c>
      <c r="Q241">
        <v>1.5</v>
      </c>
      <c r="R241">
        <v>0.31705781421261697</v>
      </c>
      <c r="S241" t="s">
        <v>2115</v>
      </c>
      <c r="T241" t="s">
        <v>3746</v>
      </c>
      <c r="U241" t="s">
        <v>3746</v>
      </c>
      <c r="V241" t="s">
        <v>3746</v>
      </c>
      <c r="W241" t="s">
        <v>3985</v>
      </c>
      <c r="X241">
        <v>3</v>
      </c>
      <c r="Y241" t="s">
        <v>5842</v>
      </c>
      <c r="Z241" t="s">
        <v>7629</v>
      </c>
      <c r="AA241">
        <v>1.407128417852779</v>
      </c>
      <c r="AB241" t="str">
        <f>HYPERLINK("Melting_Curves/meltCurve_E7EWE1_UBA5.pdf", "Melting_Curves/meltCurve_E7EWE1_UBA5.pdf")</f>
        <v>Melting_Curves/meltCurve_E7EWE1_UBA5.pdf</v>
      </c>
    </row>
    <row r="242" spans="1:28" x14ac:dyDescent="0.25">
      <c r="A242" t="s">
        <v>246</v>
      </c>
      <c r="B242">
        <v>1</v>
      </c>
      <c r="C242">
        <v>1.12242399964392</v>
      </c>
      <c r="D242">
        <v>1.2619619886945299</v>
      </c>
      <c r="E242">
        <v>1.5252370142876199</v>
      </c>
      <c r="F242">
        <v>0.72711087372590899</v>
      </c>
      <c r="G242">
        <v>1.0648061601459899</v>
      </c>
      <c r="H242">
        <v>0.572061245382116</v>
      </c>
      <c r="I242">
        <v>0.94945920683669405</v>
      </c>
      <c r="J242">
        <v>0.851226242934081</v>
      </c>
      <c r="K242">
        <v>0.85428628655361205</v>
      </c>
      <c r="L242">
        <v>14696.3308468546</v>
      </c>
      <c r="M242">
        <v>250</v>
      </c>
      <c r="O242">
        <v>58.781561538815701</v>
      </c>
      <c r="P242">
        <v>-0.20545784209398801</v>
      </c>
      <c r="Q242">
        <v>0.80676587568052804</v>
      </c>
      <c r="R242">
        <v>0.22324872465916401</v>
      </c>
      <c r="S242" t="s">
        <v>2116</v>
      </c>
      <c r="T242" t="s">
        <v>3746</v>
      </c>
      <c r="U242" t="s">
        <v>3746</v>
      </c>
      <c r="V242" t="s">
        <v>3746</v>
      </c>
      <c r="W242" t="s">
        <v>3986</v>
      </c>
      <c r="X242">
        <v>4</v>
      </c>
      <c r="Y242" t="s">
        <v>5843</v>
      </c>
      <c r="Z242" t="s">
        <v>7630</v>
      </c>
      <c r="AA242">
        <v>0.92778466162293993</v>
      </c>
      <c r="AB242" t="str">
        <f>HYPERLINK("Melting_Curves/meltCurve_E7EX17_EIF4B.pdf", "Melting_Curves/meltCurve_E7EX17_EIF4B.pdf")</f>
        <v>Melting_Curves/meltCurve_E7EX17_EIF4B.pdf</v>
      </c>
    </row>
    <row r="243" spans="1:28" x14ac:dyDescent="0.25">
      <c r="A243" t="s">
        <v>247</v>
      </c>
      <c r="B243">
        <v>1</v>
      </c>
      <c r="C243">
        <v>1.0394947978673801</v>
      </c>
      <c r="D243">
        <v>1.3240850975723399</v>
      </c>
      <c r="E243">
        <v>1.64822195765826</v>
      </c>
      <c r="F243">
        <v>1.1276981210207599</v>
      </c>
      <c r="G243">
        <v>1.3335058750452899</v>
      </c>
      <c r="H243">
        <v>0.78640716393188004</v>
      </c>
      <c r="I243">
        <v>1.13939644909157</v>
      </c>
      <c r="J243">
        <v>1.12552409545008</v>
      </c>
      <c r="K243">
        <v>1.0204876028780001</v>
      </c>
      <c r="L243">
        <v>10781.866642054199</v>
      </c>
      <c r="M243">
        <v>250</v>
      </c>
      <c r="O243">
        <v>43.1247066912618</v>
      </c>
      <c r="P243">
        <v>0.27270590308388498</v>
      </c>
      <c r="Q243">
        <v>1.1881657931374201</v>
      </c>
      <c r="R243">
        <v>9.2903462907718601E-2</v>
      </c>
      <c r="S243" t="s">
        <v>2117</v>
      </c>
      <c r="T243" t="s">
        <v>3746</v>
      </c>
      <c r="U243" t="s">
        <v>3746</v>
      </c>
      <c r="V243" t="s">
        <v>3746</v>
      </c>
      <c r="W243" t="s">
        <v>3987</v>
      </c>
      <c r="X243">
        <v>9</v>
      </c>
      <c r="Y243" t="s">
        <v>5844</v>
      </c>
      <c r="Z243" t="s">
        <v>7631</v>
      </c>
      <c r="AA243">
        <v>1.16853547699176</v>
      </c>
      <c r="AB243" t="str">
        <f>HYPERLINK("Melting_Curves/meltCurve_E7EX60_NRP1.pdf", "Melting_Curves/meltCurve_E7EX60_NRP1.pdf")</f>
        <v>Melting_Curves/meltCurve_E7EX60_NRP1.pdf</v>
      </c>
    </row>
    <row r="244" spans="1:28" x14ac:dyDescent="0.25">
      <c r="A244" t="s">
        <v>248</v>
      </c>
      <c r="B244">
        <v>1</v>
      </c>
      <c r="C244">
        <v>0.97435173988982904</v>
      </c>
      <c r="D244">
        <v>1.3838505978772</v>
      </c>
      <c r="E244">
        <v>1.6684132742173901</v>
      </c>
      <c r="F244">
        <v>1.08462985355367</v>
      </c>
      <c r="G244">
        <v>1.3869407496977</v>
      </c>
      <c r="H244">
        <v>0.79889829369877696</v>
      </c>
      <c r="I244">
        <v>1.4183796856106401</v>
      </c>
      <c r="J244">
        <v>1.3327018675265301</v>
      </c>
      <c r="K244">
        <v>1.1990729544538501</v>
      </c>
      <c r="L244">
        <v>11070.459604122199</v>
      </c>
      <c r="M244">
        <v>250</v>
      </c>
      <c r="O244">
        <v>44.278987092980103</v>
      </c>
      <c r="P244">
        <v>0.40102515301844599</v>
      </c>
      <c r="Q244">
        <v>1.2841119143564701</v>
      </c>
      <c r="R244">
        <v>0.229786312362977</v>
      </c>
      <c r="S244" t="s">
        <v>2118</v>
      </c>
      <c r="T244" t="s">
        <v>3746</v>
      </c>
      <c r="U244" t="s">
        <v>3746</v>
      </c>
      <c r="V244" t="s">
        <v>3746</v>
      </c>
      <c r="W244" t="s">
        <v>3988</v>
      </c>
      <c r="X244">
        <v>5</v>
      </c>
      <c r="Y244" t="s">
        <v>5845</v>
      </c>
      <c r="Z244" t="s">
        <v>7632</v>
      </c>
      <c r="AA244">
        <v>1.2435391245851939</v>
      </c>
      <c r="AB244" t="str">
        <f>HYPERLINK("Melting_Curves/meltCurve_E7EX73_EIF4G1.pdf", "Melting_Curves/meltCurve_E7EX73_EIF4G1.pdf")</f>
        <v>Melting_Curves/meltCurve_E7EX73_EIF4G1.pdf</v>
      </c>
    </row>
    <row r="245" spans="1:28" x14ac:dyDescent="0.25">
      <c r="A245" t="s">
        <v>249</v>
      </c>
      <c r="B245">
        <v>1</v>
      </c>
      <c r="C245">
        <v>0.98231971842514498</v>
      </c>
      <c r="D245">
        <v>1.46271588769747</v>
      </c>
      <c r="E245">
        <v>2.0766145534910398</v>
      </c>
      <c r="F245">
        <v>1.5768191863796399</v>
      </c>
      <c r="G245">
        <v>1.79913235655235</v>
      </c>
      <c r="H245">
        <v>1.1352214127854601</v>
      </c>
      <c r="I245">
        <v>1.7982319718425099</v>
      </c>
      <c r="J245">
        <v>1.7982319718425099</v>
      </c>
      <c r="K245">
        <v>1.6635016779896901</v>
      </c>
      <c r="L245">
        <v>11384.1469618626</v>
      </c>
      <c r="M245">
        <v>250</v>
      </c>
      <c r="O245">
        <v>45.533678431926397</v>
      </c>
      <c r="P245">
        <v>0.686305264176026</v>
      </c>
      <c r="Q245">
        <v>1.5</v>
      </c>
      <c r="R245">
        <v>0.39996479333176599</v>
      </c>
      <c r="S245" t="s">
        <v>2119</v>
      </c>
      <c r="T245" t="s">
        <v>3746</v>
      </c>
      <c r="U245" t="s">
        <v>3746</v>
      </c>
      <c r="V245" t="s">
        <v>3746</v>
      </c>
      <c r="W245" t="s">
        <v>3989</v>
      </c>
      <c r="X245">
        <v>5</v>
      </c>
      <c r="Y245" t="s">
        <v>5846</v>
      </c>
      <c r="Z245" t="s">
        <v>7633</v>
      </c>
      <c r="AA245">
        <v>1.4076835778743451</v>
      </c>
      <c r="AB245" t="str">
        <f>HYPERLINK("Melting_Curves/meltCurve_E7EX90_DCTN1.pdf", "Melting_Curves/meltCurve_E7EX90_DCTN1.pdf")</f>
        <v>Melting_Curves/meltCurve_E7EX90_DCTN1.pdf</v>
      </c>
    </row>
    <row r="246" spans="1:28" x14ac:dyDescent="0.25">
      <c r="A246" t="s">
        <v>250</v>
      </c>
      <c r="B246">
        <v>1</v>
      </c>
      <c r="C246">
        <v>1.5019132987367001</v>
      </c>
      <c r="D246">
        <v>2.6042354667924701</v>
      </c>
      <c r="E246">
        <v>2.2276563400953999</v>
      </c>
      <c r="F246">
        <v>1.52586884730304</v>
      </c>
      <c r="G246">
        <v>1.6252031241809499</v>
      </c>
      <c r="H246">
        <v>1.05435865177963</v>
      </c>
      <c r="I246">
        <v>1.64879173874299</v>
      </c>
      <c r="J246">
        <v>1.82591602453216</v>
      </c>
      <c r="K246">
        <v>1.3714420506368901</v>
      </c>
      <c r="L246">
        <v>10307.047736618801</v>
      </c>
      <c r="M246">
        <v>250</v>
      </c>
      <c r="O246">
        <v>41.225552791443697</v>
      </c>
      <c r="P246">
        <v>0.75802501249452103</v>
      </c>
      <c r="Q246">
        <v>1.5</v>
      </c>
      <c r="R246">
        <v>2.68010869014891E-2</v>
      </c>
      <c r="S246" t="s">
        <v>2120</v>
      </c>
      <c r="T246" t="s">
        <v>3746</v>
      </c>
      <c r="U246" t="s">
        <v>3746</v>
      </c>
      <c r="V246" t="s">
        <v>3746</v>
      </c>
      <c r="W246" t="s">
        <v>3990</v>
      </c>
      <c r="X246">
        <v>1</v>
      </c>
      <c r="Y246" t="s">
        <v>5847</v>
      </c>
      <c r="Z246" t="s">
        <v>7634</v>
      </c>
      <c r="AA246">
        <v>1.4794927831659059</v>
      </c>
      <c r="AB246" t="str">
        <f>HYPERLINK("Melting_Curves/meltCurve_E7EXA3_NIF3L1.pdf", "Melting_Curves/meltCurve_E7EXA3_NIF3L1.pdf")</f>
        <v>Melting_Curves/meltCurve_E7EXA3_NIF3L1.pdf</v>
      </c>
    </row>
    <row r="247" spans="1:28" x14ac:dyDescent="0.25">
      <c r="A247" t="s">
        <v>251</v>
      </c>
      <c r="B247">
        <v>1</v>
      </c>
      <c r="C247">
        <v>0.85978575722796102</v>
      </c>
      <c r="D247">
        <v>1.2192435918456599</v>
      </c>
      <c r="E247">
        <v>1.34548013335519</v>
      </c>
      <c r="F247">
        <v>0.71854675629884701</v>
      </c>
      <c r="G247">
        <v>0.58247253648138997</v>
      </c>
      <c r="H247">
        <v>0.45676886921353199</v>
      </c>
      <c r="I247">
        <v>0.88914849428868103</v>
      </c>
      <c r="J247">
        <v>0.68528993824124196</v>
      </c>
      <c r="K247">
        <v>0.812154998087118</v>
      </c>
      <c r="L247">
        <v>13137.026142734199</v>
      </c>
      <c r="M247">
        <v>250</v>
      </c>
      <c r="O247">
        <v>52.5447646053209</v>
      </c>
      <c r="P247">
        <v>-0.37448425016895098</v>
      </c>
      <c r="Q247">
        <v>0.68516514746929602</v>
      </c>
      <c r="R247">
        <v>0.54610512288999002</v>
      </c>
      <c r="S247" t="s">
        <v>2121</v>
      </c>
      <c r="T247" t="s">
        <v>3746</v>
      </c>
      <c r="U247" t="s">
        <v>3746</v>
      </c>
      <c r="V247" t="s">
        <v>3746</v>
      </c>
      <c r="W247" t="s">
        <v>3991</v>
      </c>
      <c r="X247">
        <v>1</v>
      </c>
      <c r="Y247" t="s">
        <v>5848</v>
      </c>
      <c r="Z247" t="s">
        <v>7635</v>
      </c>
      <c r="AA247">
        <v>0.81688020362519853</v>
      </c>
      <c r="AB247" t="str">
        <f>HYPERLINK("Melting_Curves/meltCurve_E9PAQ1_CFP.pdf", "Melting_Curves/meltCurve_E9PAQ1_CFP.pdf")</f>
        <v>Melting_Curves/meltCurve_E9PAQ1_CFP.pdf</v>
      </c>
    </row>
    <row r="248" spans="1:28" x14ac:dyDescent="0.25">
      <c r="A248" t="s">
        <v>252</v>
      </c>
      <c r="B248">
        <v>1</v>
      </c>
      <c r="C248">
        <v>1.1239706968027701</v>
      </c>
      <c r="D248">
        <v>1.41342495314896</v>
      </c>
      <c r="E248">
        <v>1.50411721278891</v>
      </c>
      <c r="F248">
        <v>1.0931341927423499</v>
      </c>
      <c r="G248">
        <v>1.3733886080981299</v>
      </c>
      <c r="H248">
        <v>0.734283604974729</v>
      </c>
      <c r="I248">
        <v>1.0478732466352401</v>
      </c>
      <c r="J248">
        <v>1.05321142597535</v>
      </c>
      <c r="K248">
        <v>0.83372139246975996</v>
      </c>
      <c r="L248">
        <v>15000</v>
      </c>
      <c r="M248">
        <v>212.67344213883899</v>
      </c>
      <c r="Q248">
        <v>0</v>
      </c>
      <c r="R248">
        <v>-0.20045021088515</v>
      </c>
      <c r="S248" t="s">
        <v>2122</v>
      </c>
      <c r="T248" t="s">
        <v>3746</v>
      </c>
      <c r="U248" t="s">
        <v>3746</v>
      </c>
      <c r="V248" t="s">
        <v>3746</v>
      </c>
      <c r="W248" t="s">
        <v>3992</v>
      </c>
      <c r="X248">
        <v>1</v>
      </c>
      <c r="Y248" t="s">
        <v>5849</v>
      </c>
      <c r="Z248" t="s">
        <v>7636</v>
      </c>
      <c r="AA248">
        <v>0.99803892490921298</v>
      </c>
      <c r="AB248" t="str">
        <f>HYPERLINK("Melting_Curves/meltCurve_E9PB61_ALYREF.pdf", "Melting_Curves/meltCurve_E9PB61_ALYREF.pdf")</f>
        <v>Melting_Curves/meltCurve_E9PB61_ALYREF.pdf</v>
      </c>
    </row>
    <row r="249" spans="1:28" x14ac:dyDescent="0.25">
      <c r="A249" t="s">
        <v>253</v>
      </c>
      <c r="B249">
        <v>1</v>
      </c>
      <c r="C249">
        <v>0.86110360594409197</v>
      </c>
      <c r="D249">
        <v>1.32256053205861</v>
      </c>
      <c r="E249">
        <v>1.41887145380858</v>
      </c>
      <c r="F249">
        <v>0.75637535072222795</v>
      </c>
      <c r="G249">
        <v>0.80122622882676897</v>
      </c>
      <c r="H249">
        <v>0.73604904915307101</v>
      </c>
      <c r="I249">
        <v>1.0593370050919699</v>
      </c>
      <c r="J249">
        <v>1.09057466486543</v>
      </c>
      <c r="K249">
        <v>1.0512729917904999</v>
      </c>
      <c r="S249" t="s">
        <v>2123</v>
      </c>
      <c r="T249" t="s">
        <v>3746</v>
      </c>
      <c r="U249" t="s">
        <v>3747</v>
      </c>
      <c r="V249" t="s">
        <v>3746</v>
      </c>
      <c r="W249" t="s">
        <v>3993</v>
      </c>
      <c r="X249">
        <v>13</v>
      </c>
      <c r="Y249" t="s">
        <v>5850</v>
      </c>
      <c r="Z249" t="s">
        <v>7637</v>
      </c>
      <c r="AB249" t="str">
        <f>HYPERLINK("Melting_Curves/meltCurve_E9PBJ0_MUC5B.pdf", "Melting_Curves/meltCurve_E9PBJ0_MUC5B.pdf")</f>
        <v>Melting_Curves/meltCurve_E9PBJ0_MUC5B.pdf</v>
      </c>
    </row>
    <row r="250" spans="1:28" x14ac:dyDescent="0.25">
      <c r="A250" t="s">
        <v>254</v>
      </c>
      <c r="B250">
        <v>1</v>
      </c>
      <c r="C250">
        <v>0.839254834145575</v>
      </c>
      <c r="D250">
        <v>1.34758685741236</v>
      </c>
      <c r="E250">
        <v>1.5977833673950601</v>
      </c>
      <c r="F250">
        <v>1.4619556673478999</v>
      </c>
      <c r="G250">
        <v>1.7215060525074699</v>
      </c>
      <c r="H250">
        <v>1.3945920452759</v>
      </c>
      <c r="I250">
        <v>2.7663889325577702</v>
      </c>
      <c r="J250">
        <v>2.9570822197767601</v>
      </c>
      <c r="K250">
        <v>2.7109731174343699</v>
      </c>
      <c r="L250">
        <v>11462.0767055223</v>
      </c>
      <c r="M250">
        <v>250</v>
      </c>
      <c r="O250">
        <v>45.845383846861402</v>
      </c>
      <c r="P250">
        <v>0.68163912901896895</v>
      </c>
      <c r="Q250">
        <v>1.5</v>
      </c>
      <c r="R250">
        <v>-1.8955477112004401E-2</v>
      </c>
      <c r="S250" t="s">
        <v>2124</v>
      </c>
      <c r="T250" t="s">
        <v>3746</v>
      </c>
      <c r="U250" t="s">
        <v>3746</v>
      </c>
      <c r="V250" t="s">
        <v>3746</v>
      </c>
      <c r="W250" t="s">
        <v>3994</v>
      </c>
      <c r="X250">
        <v>7</v>
      </c>
      <c r="Y250" t="s">
        <v>5851</v>
      </c>
      <c r="Z250" t="s">
        <v>7638</v>
      </c>
      <c r="AA250">
        <v>1.402487988099389</v>
      </c>
      <c r="AB250" t="str">
        <f>HYPERLINK("Melting_Curves/meltCurve_E9PBU3_ATIC.pdf", "Melting_Curves/meltCurve_E9PBU3_ATIC.pdf")</f>
        <v>Melting_Curves/meltCurve_E9PBU3_ATIC.pdf</v>
      </c>
    </row>
    <row r="251" spans="1:28" x14ac:dyDescent="0.25">
      <c r="A251" t="s">
        <v>255</v>
      </c>
      <c r="B251">
        <v>1</v>
      </c>
      <c r="C251">
        <v>1.8947232490193899</v>
      </c>
      <c r="D251">
        <v>2.1387871059385599</v>
      </c>
      <c r="E251">
        <v>2.8648447966941601</v>
      </c>
      <c r="F251">
        <v>2.6238478797759499</v>
      </c>
      <c r="G251">
        <v>2.63805265451728</v>
      </c>
      <c r="H251">
        <v>2.99882164936805</v>
      </c>
      <c r="I251">
        <v>2.9305418798727998</v>
      </c>
      <c r="J251">
        <v>3.8808090264886799</v>
      </c>
      <c r="K251">
        <v>3.7242336685444899</v>
      </c>
      <c r="L251">
        <v>10234.575112479</v>
      </c>
      <c r="M251">
        <v>250</v>
      </c>
      <c r="O251">
        <v>40.935680729748398</v>
      </c>
      <c r="P251">
        <v>0.76339270594707598</v>
      </c>
      <c r="Q251">
        <v>1.5</v>
      </c>
      <c r="R251">
        <v>-2.07624650798097</v>
      </c>
      <c r="S251" t="s">
        <v>2125</v>
      </c>
      <c r="T251" t="s">
        <v>3746</v>
      </c>
      <c r="U251" t="s">
        <v>3746</v>
      </c>
      <c r="V251" t="s">
        <v>3746</v>
      </c>
      <c r="W251" t="s">
        <v>3995</v>
      </c>
      <c r="X251">
        <v>1</v>
      </c>
      <c r="Y251" t="s">
        <v>5852</v>
      </c>
      <c r="Z251" t="s">
        <v>7639</v>
      </c>
      <c r="AA251">
        <v>1.484318407117579</v>
      </c>
      <c r="AB251" t="str">
        <f>HYPERLINK("Melting_Curves/meltCurve_E9PC74_EIF2B5.pdf", "Melting_Curves/meltCurve_E9PC74_EIF2B5.pdf")</f>
        <v>Melting_Curves/meltCurve_E9PC74_EIF2B5.pdf</v>
      </c>
    </row>
    <row r="252" spans="1:28" x14ac:dyDescent="0.25">
      <c r="A252" t="s">
        <v>256</v>
      </c>
      <c r="B252">
        <v>1</v>
      </c>
      <c r="C252">
        <v>1.1440687613843401</v>
      </c>
      <c r="D252">
        <v>1.3548497267759601</v>
      </c>
      <c r="E252">
        <v>1.6090050091074699</v>
      </c>
      <c r="F252">
        <v>1.23742030965392</v>
      </c>
      <c r="G252">
        <v>1.51616575591985</v>
      </c>
      <c r="H252">
        <v>1.23867258652095</v>
      </c>
      <c r="I252">
        <v>2.34118852459016</v>
      </c>
      <c r="J252">
        <v>2.3813752276867</v>
      </c>
      <c r="K252">
        <v>2.24311247723133</v>
      </c>
      <c r="L252">
        <v>1355.8774844593099</v>
      </c>
      <c r="M252">
        <v>30.576972921512301</v>
      </c>
      <c r="O252">
        <v>44.154719778434199</v>
      </c>
      <c r="P252">
        <v>8.6562540541666594E-2</v>
      </c>
      <c r="Q252">
        <v>1.5</v>
      </c>
      <c r="R252">
        <v>0.11392351592093899</v>
      </c>
      <c r="S252" t="s">
        <v>2126</v>
      </c>
      <c r="T252" t="s">
        <v>3746</v>
      </c>
      <c r="U252" t="s">
        <v>3746</v>
      </c>
      <c r="V252" t="s">
        <v>3746</v>
      </c>
      <c r="W252" t="s">
        <v>3996</v>
      </c>
      <c r="X252">
        <v>6</v>
      </c>
      <c r="Y252" t="s">
        <v>5853</v>
      </c>
      <c r="Z252" t="s">
        <v>7640</v>
      </c>
      <c r="AA252">
        <v>1.4243154855138891</v>
      </c>
      <c r="AB252" t="str">
        <f>HYPERLINK("Melting_Curves/meltCurve_E9PCD7_MAN2B2.pdf", "Melting_Curves/meltCurve_E9PCD7_MAN2B2.pdf")</f>
        <v>Melting_Curves/meltCurve_E9PCD7_MAN2B2.pdf</v>
      </c>
    </row>
    <row r="253" spans="1:28" x14ac:dyDescent="0.25">
      <c r="A253" t="s">
        <v>257</v>
      </c>
      <c r="B253">
        <v>1</v>
      </c>
      <c r="C253">
        <v>1.0156895127993399</v>
      </c>
      <c r="D253">
        <v>1.2909165978530099</v>
      </c>
      <c r="E253">
        <v>1.20774841728599</v>
      </c>
      <c r="F253">
        <v>0.86886870355078405</v>
      </c>
      <c r="G253">
        <v>1.41301954307735</v>
      </c>
      <c r="H253">
        <v>0.38341590971648798</v>
      </c>
      <c r="I253">
        <v>0.98475089457748399</v>
      </c>
      <c r="J253">
        <v>0.75333058078722803</v>
      </c>
      <c r="K253">
        <v>0.76182218552160696</v>
      </c>
      <c r="L253">
        <v>3016.1476448703702</v>
      </c>
      <c r="M253">
        <v>50.999060986510301</v>
      </c>
      <c r="O253">
        <v>59.050516303610202</v>
      </c>
      <c r="P253">
        <v>-5.6513382720859803E-2</v>
      </c>
      <c r="Q253">
        <v>0.73825856824586</v>
      </c>
      <c r="R253">
        <v>0.29829224877938598</v>
      </c>
      <c r="S253" t="s">
        <v>2127</v>
      </c>
      <c r="T253" t="s">
        <v>3746</v>
      </c>
      <c r="U253" t="s">
        <v>3746</v>
      </c>
      <c r="V253" t="s">
        <v>3746</v>
      </c>
      <c r="W253" t="s">
        <v>3997</v>
      </c>
      <c r="X253">
        <v>3</v>
      </c>
      <c r="Y253" t="s">
        <v>5854</v>
      </c>
      <c r="Z253" t="s">
        <v>7641</v>
      </c>
      <c r="AA253">
        <v>0.90591113806317292</v>
      </c>
      <c r="AB253" t="str">
        <f>HYPERLINK("Melting_Curves/meltCurve_E9PCV0_GUSB.pdf", "Melting_Curves/meltCurve_E9PCV0_GUSB.pdf")</f>
        <v>Melting_Curves/meltCurve_E9PCV0_GUSB.pdf</v>
      </c>
    </row>
    <row r="254" spans="1:28" x14ac:dyDescent="0.25">
      <c r="A254" t="s">
        <v>258</v>
      </c>
      <c r="B254">
        <v>1</v>
      </c>
      <c r="C254">
        <v>1.0770306616460501</v>
      </c>
      <c r="D254">
        <v>1.4301775147928999</v>
      </c>
      <c r="E254">
        <v>2.36654115115654</v>
      </c>
      <c r="F254">
        <v>2.3838084991931101</v>
      </c>
      <c r="G254">
        <v>3.1712748789671901</v>
      </c>
      <c r="H254">
        <v>1.5414201183431999</v>
      </c>
      <c r="I254">
        <v>2.8237762237762198</v>
      </c>
      <c r="J254">
        <v>2.66713286713287</v>
      </c>
      <c r="K254">
        <v>2.4314685314685298</v>
      </c>
      <c r="L254">
        <v>2639.7011474932901</v>
      </c>
      <c r="M254">
        <v>59.6807823544641</v>
      </c>
      <c r="O254">
        <v>44.180759683095303</v>
      </c>
      <c r="P254">
        <v>0.16885407134376901</v>
      </c>
      <c r="Q254">
        <v>1.5</v>
      </c>
      <c r="R254">
        <v>-0.57681188806975103</v>
      </c>
      <c r="S254" t="s">
        <v>2128</v>
      </c>
      <c r="T254" t="s">
        <v>3746</v>
      </c>
      <c r="U254" t="s">
        <v>3746</v>
      </c>
      <c r="V254" t="s">
        <v>3746</v>
      </c>
      <c r="W254" t="s">
        <v>3998</v>
      </c>
      <c r="X254">
        <v>6</v>
      </c>
      <c r="Y254" t="s">
        <v>5855</v>
      </c>
      <c r="Z254" t="s">
        <v>7642</v>
      </c>
      <c r="AA254">
        <v>1.4287930313694801</v>
      </c>
      <c r="AB254" t="str">
        <f>HYPERLINK("Melting_Curves/meltCurve_E9PDB2_MDH2.pdf", "Melting_Curves/meltCurve_E9PDB2_MDH2.pdf")</f>
        <v>Melting_Curves/meltCurve_E9PDB2_MDH2.pdf</v>
      </c>
    </row>
    <row r="255" spans="1:28" x14ac:dyDescent="0.25">
      <c r="A255" t="s">
        <v>259</v>
      </c>
      <c r="B255">
        <v>1</v>
      </c>
      <c r="C255">
        <v>0.85979400362443503</v>
      </c>
      <c r="D255">
        <v>0.87254834491776201</v>
      </c>
      <c r="E255">
        <v>0.94852384557153702</v>
      </c>
      <c r="F255">
        <v>0.97460601472713504</v>
      </c>
      <c r="G255">
        <v>0.69529511618837903</v>
      </c>
      <c r="H255">
        <v>0.38159796297570697</v>
      </c>
      <c r="I255">
        <v>0.58357993255797902</v>
      </c>
      <c r="J255">
        <v>0.68719748583488205</v>
      </c>
      <c r="K255">
        <v>0.58192829123941903</v>
      </c>
      <c r="L255">
        <v>14204.319352038399</v>
      </c>
      <c r="M255">
        <v>250</v>
      </c>
      <c r="O255">
        <v>56.813639919632799</v>
      </c>
      <c r="P255">
        <v>-0.48560529216634901</v>
      </c>
      <c r="Q255">
        <v>0.55857592099901199</v>
      </c>
      <c r="R255">
        <v>0.76615592244074404</v>
      </c>
      <c r="S255" t="s">
        <v>2129</v>
      </c>
      <c r="T255" t="s">
        <v>3746</v>
      </c>
      <c r="U255" t="s">
        <v>3746</v>
      </c>
      <c r="V255" t="s">
        <v>3746</v>
      </c>
      <c r="W255" t="s">
        <v>3999</v>
      </c>
      <c r="X255">
        <v>11</v>
      </c>
      <c r="Y255" t="s">
        <v>5856</v>
      </c>
      <c r="Z255" t="s">
        <v>7643</v>
      </c>
      <c r="AA255">
        <v>0.80607164328463676</v>
      </c>
      <c r="AB255" t="str">
        <f>HYPERLINK("Melting_Curves/meltCurve_E9PDQ1_CSN1S1.pdf", "Melting_Curves/meltCurve_E9PDQ1_CSN1S1.pdf")</f>
        <v>Melting_Curves/meltCurve_E9PDQ1_CSN1S1.pdf</v>
      </c>
    </row>
    <row r="256" spans="1:28" x14ac:dyDescent="0.25">
      <c r="A256" t="s">
        <v>260</v>
      </c>
      <c r="B256">
        <v>1</v>
      </c>
      <c r="C256">
        <v>0.80062916791243599</v>
      </c>
      <c r="D256">
        <v>1.14655452571919</v>
      </c>
      <c r="E256">
        <v>1.26865729847778</v>
      </c>
      <c r="F256">
        <v>0.87421841486084195</v>
      </c>
      <c r="G256">
        <v>0.85678630389850097</v>
      </c>
      <c r="H256">
        <v>0.53350579120464903</v>
      </c>
      <c r="I256">
        <v>0.90457186683479096</v>
      </c>
      <c r="J256">
        <v>0.93512030886424802</v>
      </c>
      <c r="K256">
        <v>0.81245856461320498</v>
      </c>
      <c r="L256">
        <v>13215.6043302708</v>
      </c>
      <c r="M256">
        <v>250</v>
      </c>
      <c r="O256">
        <v>52.859026651248001</v>
      </c>
      <c r="P256">
        <v>-0.22644130778997801</v>
      </c>
      <c r="Q256">
        <v>0.80848849783089805</v>
      </c>
      <c r="R256">
        <v>0.343744573286341</v>
      </c>
      <c r="S256" t="s">
        <v>2130</v>
      </c>
      <c r="T256" t="s">
        <v>3746</v>
      </c>
      <c r="U256" t="s">
        <v>3746</v>
      </c>
      <c r="V256" t="s">
        <v>3746</v>
      </c>
      <c r="W256" t="s">
        <v>4000</v>
      </c>
      <c r="X256">
        <v>30</v>
      </c>
      <c r="Y256" t="s">
        <v>5857</v>
      </c>
      <c r="Z256" t="s">
        <v>7644</v>
      </c>
      <c r="AA256">
        <v>0.89061629363002059</v>
      </c>
      <c r="AB256" t="str">
        <f>HYPERLINK("Melting_Curves/meltCurve_E9PDY6_MUC4.pdf", "Melting_Curves/meltCurve_E9PDY6_MUC4.pdf")</f>
        <v>Melting_Curves/meltCurve_E9PDY6_MUC4.pdf</v>
      </c>
    </row>
    <row r="257" spans="1:28" x14ac:dyDescent="0.25">
      <c r="A257" t="s">
        <v>261</v>
      </c>
      <c r="B257">
        <v>1</v>
      </c>
      <c r="C257">
        <v>1.02795300209538</v>
      </c>
      <c r="D257">
        <v>1.2538259848825599</v>
      </c>
      <c r="E257">
        <v>1.5095498776781899</v>
      </c>
      <c r="F257">
        <v>1.11033098197536</v>
      </c>
      <c r="G257">
        <v>1.2108213662742899</v>
      </c>
      <c r="H257">
        <v>0.70562680328678196</v>
      </c>
      <c r="I257">
        <v>1.2493280528342501</v>
      </c>
      <c r="J257">
        <v>0.87088740908143503</v>
      </c>
      <c r="K257">
        <v>1.18580847585927</v>
      </c>
      <c r="L257">
        <v>15000</v>
      </c>
      <c r="M257">
        <v>213.76023735336801</v>
      </c>
      <c r="Q257">
        <v>1.5</v>
      </c>
      <c r="R257">
        <v>-0.20181143500769999</v>
      </c>
      <c r="S257" t="s">
        <v>2131</v>
      </c>
      <c r="T257" t="s">
        <v>3746</v>
      </c>
      <c r="U257" t="s">
        <v>3746</v>
      </c>
      <c r="V257" t="s">
        <v>3746</v>
      </c>
      <c r="W257" t="s">
        <v>4001</v>
      </c>
      <c r="X257">
        <v>1</v>
      </c>
      <c r="Y257" t="s">
        <v>5858</v>
      </c>
      <c r="Z257" t="s">
        <v>7645</v>
      </c>
      <c r="AA257">
        <v>1.0025030310899261</v>
      </c>
      <c r="AB257" t="str">
        <f>HYPERLINK("Melting_Curves/meltCurve_E9PFD9_SEMA4D.pdf", "Melting_Curves/meltCurve_E9PFD9_SEMA4D.pdf")</f>
        <v>Melting_Curves/meltCurve_E9PFD9_SEMA4D.pdf</v>
      </c>
    </row>
    <row r="258" spans="1:28" x14ac:dyDescent="0.25">
      <c r="A258" t="s">
        <v>262</v>
      </c>
      <c r="B258">
        <v>1</v>
      </c>
      <c r="C258">
        <v>0.87255344775669996</v>
      </c>
      <c r="D258">
        <v>1.3423667570008999</v>
      </c>
      <c r="E258">
        <v>1.4492622704004801</v>
      </c>
      <c r="F258">
        <v>1.02378801565793</v>
      </c>
      <c r="G258">
        <v>1.26114122252334</v>
      </c>
      <c r="H258">
        <v>0.85252935862692003</v>
      </c>
      <c r="I258">
        <v>1.73291177356218</v>
      </c>
      <c r="J258">
        <v>1.6600421559771199</v>
      </c>
      <c r="K258">
        <v>1.67396868413129</v>
      </c>
      <c r="L258">
        <v>463.53098580902298</v>
      </c>
      <c r="M258">
        <v>8.8283428213614101</v>
      </c>
      <c r="O258">
        <v>50.0201433495684</v>
      </c>
      <c r="P258">
        <v>2.2079193339146101E-2</v>
      </c>
      <c r="Q258">
        <v>1.5</v>
      </c>
      <c r="R258">
        <v>0.31828152325422698</v>
      </c>
      <c r="S258" t="s">
        <v>2132</v>
      </c>
      <c r="T258" t="s">
        <v>3746</v>
      </c>
      <c r="U258" t="s">
        <v>3746</v>
      </c>
      <c r="V258" t="s">
        <v>3746</v>
      </c>
      <c r="W258" t="s">
        <v>4002</v>
      </c>
      <c r="X258">
        <v>4</v>
      </c>
      <c r="Y258" t="s">
        <v>5859</v>
      </c>
      <c r="Z258" t="s">
        <v>7646</v>
      </c>
      <c r="AA258">
        <v>1.271325628140664</v>
      </c>
      <c r="AB258" t="str">
        <f>HYPERLINK("Melting_Curves/meltCurve_E9PFN5_GSTK1.pdf", "Melting_Curves/meltCurve_E9PFN5_GSTK1.pdf")</f>
        <v>Melting_Curves/meltCurve_E9PFN5_GSTK1.pdf</v>
      </c>
    </row>
    <row r="259" spans="1:28" x14ac:dyDescent="0.25">
      <c r="A259" t="s">
        <v>263</v>
      </c>
      <c r="B259">
        <v>1</v>
      </c>
      <c r="C259">
        <v>0.94510771992818698</v>
      </c>
      <c r="D259">
        <v>1.19133752244165</v>
      </c>
      <c r="E259">
        <v>1.3672351885098699</v>
      </c>
      <c r="F259">
        <v>0.88128366247755796</v>
      </c>
      <c r="G259">
        <v>0.95148114901256697</v>
      </c>
      <c r="H259">
        <v>0.60938061041292602</v>
      </c>
      <c r="I259">
        <v>0.89721723518851004</v>
      </c>
      <c r="J259">
        <v>0.92881508078994601</v>
      </c>
      <c r="K259">
        <v>0.83815080789946095</v>
      </c>
      <c r="L259">
        <v>14307.516943824099</v>
      </c>
      <c r="M259">
        <v>250</v>
      </c>
      <c r="O259">
        <v>57.226405512394301</v>
      </c>
      <c r="P259">
        <v>-0.198344901982525</v>
      </c>
      <c r="Q259">
        <v>0.81839094779788801</v>
      </c>
      <c r="R259">
        <v>0.32170062041447101</v>
      </c>
      <c r="S259" t="s">
        <v>2133</v>
      </c>
      <c r="T259" t="s">
        <v>3746</v>
      </c>
      <c r="U259" t="s">
        <v>3746</v>
      </c>
      <c r="V259" t="s">
        <v>3746</v>
      </c>
      <c r="W259" t="s">
        <v>4003</v>
      </c>
      <c r="X259">
        <v>32</v>
      </c>
      <c r="Y259" t="s">
        <v>5860</v>
      </c>
      <c r="Z259" t="s">
        <v>7647</v>
      </c>
      <c r="AA259">
        <v>0.9227137308274197</v>
      </c>
      <c r="AB259" t="str">
        <f>HYPERLINK("Melting_Curves/meltCurve_E9PFZ2_CP.pdf", "Melting_Curves/meltCurve_E9PFZ2_CP.pdf")</f>
        <v>Melting_Curves/meltCurve_E9PFZ2_CP.pdf</v>
      </c>
    </row>
    <row r="260" spans="1:28" x14ac:dyDescent="0.25">
      <c r="A260" t="s">
        <v>264</v>
      </c>
      <c r="B260">
        <v>1</v>
      </c>
      <c r="C260">
        <v>0.95630408959782798</v>
      </c>
      <c r="D260">
        <v>1.38885117936535</v>
      </c>
      <c r="E260">
        <v>1.6663838452401201</v>
      </c>
      <c r="F260">
        <v>1.22628542338368</v>
      </c>
      <c r="G260">
        <v>1.3835907008314901</v>
      </c>
      <c r="H260">
        <v>0.73491430510775502</v>
      </c>
      <c r="I260">
        <v>1.23341252333277</v>
      </c>
      <c r="J260">
        <v>1.2034617342609899</v>
      </c>
      <c r="K260">
        <v>1.0976582385881599</v>
      </c>
      <c r="L260">
        <v>11073.6121136357</v>
      </c>
      <c r="M260">
        <v>250</v>
      </c>
      <c r="O260">
        <v>44.291613924128001</v>
      </c>
      <c r="P260">
        <v>0.34123170159184402</v>
      </c>
      <c r="Q260">
        <v>1.2418192441739699</v>
      </c>
      <c r="R260">
        <v>0.179679428302639</v>
      </c>
      <c r="S260" t="s">
        <v>2134</v>
      </c>
      <c r="T260" t="s">
        <v>3746</v>
      </c>
      <c r="U260" t="s">
        <v>3746</v>
      </c>
      <c r="V260" t="s">
        <v>3746</v>
      </c>
      <c r="W260" t="s">
        <v>4004</v>
      </c>
      <c r="X260">
        <v>12</v>
      </c>
      <c r="Y260" t="s">
        <v>5861</v>
      </c>
      <c r="Z260" t="s">
        <v>7648</v>
      </c>
      <c r="AA260">
        <v>1.207184436782786</v>
      </c>
      <c r="AB260" t="str">
        <f>HYPERLINK("Melting_Curves/meltCurve_E9PGN7_SERPING1.pdf", "Melting_Curves/meltCurve_E9PGN7_SERPING1.pdf")</f>
        <v>Melting_Curves/meltCurve_E9PGN7_SERPING1.pdf</v>
      </c>
    </row>
    <row r="261" spans="1:28" x14ac:dyDescent="0.25">
      <c r="A261" t="s">
        <v>265</v>
      </c>
      <c r="B261">
        <v>1</v>
      </c>
      <c r="C261">
        <v>1.0243182791605201</v>
      </c>
      <c r="D261">
        <v>1.4781087897967899</v>
      </c>
      <c r="E261">
        <v>1.85787369723504</v>
      </c>
      <c r="F261">
        <v>1.4357302622186301</v>
      </c>
      <c r="G261">
        <v>1.55953457383524</v>
      </c>
      <c r="H261">
        <v>0.85637462523199903</v>
      </c>
      <c r="I261">
        <v>1.4992861561890301</v>
      </c>
      <c r="J261">
        <v>1.4689477942226199</v>
      </c>
      <c r="K261">
        <v>1.2887022319516499</v>
      </c>
      <c r="L261">
        <v>10845.794388873601</v>
      </c>
      <c r="M261">
        <v>250</v>
      </c>
      <c r="O261">
        <v>43.380401671653303</v>
      </c>
      <c r="P261">
        <v>0.62034032330389899</v>
      </c>
      <c r="Q261">
        <v>1.43056979437302</v>
      </c>
      <c r="R261">
        <v>0.33463762052791202</v>
      </c>
      <c r="S261" t="s">
        <v>2135</v>
      </c>
      <c r="T261" t="s">
        <v>3746</v>
      </c>
      <c r="U261" t="s">
        <v>3746</v>
      </c>
      <c r="V261" t="s">
        <v>3746</v>
      </c>
      <c r="W261" t="s">
        <v>4005</v>
      </c>
      <c r="X261">
        <v>6</v>
      </c>
      <c r="Y261" t="s">
        <v>5862</v>
      </c>
      <c r="Z261" t="s">
        <v>7649</v>
      </c>
      <c r="AA261">
        <v>1.3819805433514969</v>
      </c>
      <c r="AB261" t="str">
        <f>HYPERLINK("Melting_Curves/meltCurve_E9PGT1_TSN.pdf", "Melting_Curves/meltCurve_E9PGT1_TSN.pdf")</f>
        <v>Melting_Curves/meltCurve_E9PGT1_TSN.pdf</v>
      </c>
    </row>
    <row r="262" spans="1:28" x14ac:dyDescent="0.25">
      <c r="A262" t="s">
        <v>266</v>
      </c>
      <c r="B262">
        <v>1</v>
      </c>
      <c r="C262">
        <v>1.11109849882233</v>
      </c>
      <c r="D262">
        <v>1.6939754249553001</v>
      </c>
      <c r="E262">
        <v>1.90221061891654</v>
      </c>
      <c r="F262">
        <v>1.5124435994211001</v>
      </c>
      <c r="G262">
        <v>1.54783052867561</v>
      </c>
      <c r="H262">
        <v>1.00871193847726</v>
      </c>
      <c r="I262">
        <v>1.5788756775163899</v>
      </c>
      <c r="J262">
        <v>1.4442804846902599</v>
      </c>
      <c r="K262">
        <v>1.37387553562814</v>
      </c>
      <c r="L262">
        <v>10778.749711869101</v>
      </c>
      <c r="M262">
        <v>250</v>
      </c>
      <c r="O262">
        <v>43.112239790287099</v>
      </c>
      <c r="P262">
        <v>0.72485215801335801</v>
      </c>
      <c r="Q262">
        <v>1.5</v>
      </c>
      <c r="R262">
        <v>0.41543028077168398</v>
      </c>
      <c r="S262" t="s">
        <v>2136</v>
      </c>
      <c r="T262" t="s">
        <v>3746</v>
      </c>
      <c r="U262" t="s">
        <v>3746</v>
      </c>
      <c r="V262" t="s">
        <v>3746</v>
      </c>
      <c r="W262" t="s">
        <v>4006</v>
      </c>
      <c r="X262">
        <v>1</v>
      </c>
      <c r="Y262" t="s">
        <v>5863</v>
      </c>
      <c r="Z262" t="s">
        <v>7650</v>
      </c>
      <c r="AA262">
        <v>1.4480455194574691</v>
      </c>
      <c r="AB262" t="str">
        <f>HYPERLINK("Melting_Curves/meltCurve_E9PH29_PRDX3.pdf", "Melting_Curves/meltCurve_E9PH29_PRDX3.pdf")</f>
        <v>Melting_Curves/meltCurve_E9PH29_PRDX3.pdf</v>
      </c>
    </row>
    <row r="263" spans="1:28" x14ac:dyDescent="0.25">
      <c r="A263" t="s">
        <v>267</v>
      </c>
      <c r="B263">
        <v>1</v>
      </c>
      <c r="C263">
        <v>1.0760831154145201</v>
      </c>
      <c r="D263">
        <v>1.3532405116969399</v>
      </c>
      <c r="E263">
        <v>1.5284825782740801</v>
      </c>
      <c r="F263">
        <v>1.0572478620397201</v>
      </c>
      <c r="G263">
        <v>1.1906141776804</v>
      </c>
      <c r="H263">
        <v>0.75917025938228899</v>
      </c>
      <c r="I263">
        <v>1.1209272740123</v>
      </c>
      <c r="J263">
        <v>1.0832567672627</v>
      </c>
      <c r="K263">
        <v>0.92423492826348197</v>
      </c>
      <c r="L263">
        <v>15000</v>
      </c>
      <c r="M263">
        <v>211.78429062004301</v>
      </c>
      <c r="Q263">
        <v>0</v>
      </c>
      <c r="R263">
        <v>-0.27401076578313899</v>
      </c>
      <c r="S263" t="s">
        <v>2137</v>
      </c>
      <c r="T263" t="s">
        <v>3746</v>
      </c>
      <c r="U263" t="s">
        <v>3746</v>
      </c>
      <c r="V263" t="s">
        <v>3746</v>
      </c>
      <c r="W263" t="s">
        <v>4007</v>
      </c>
      <c r="X263">
        <v>5</v>
      </c>
      <c r="Y263" t="s">
        <v>5864</v>
      </c>
      <c r="Z263" t="s">
        <v>7651</v>
      </c>
      <c r="AA263">
        <v>0.99915020593674841</v>
      </c>
      <c r="AB263" t="str">
        <f>HYPERLINK("Melting_Curves/meltCurve_E9PH32_MUC20.pdf", "Melting_Curves/meltCurve_E9PH32_MUC20.pdf")</f>
        <v>Melting_Curves/meltCurve_E9PH32_MUC20.pdf</v>
      </c>
    </row>
    <row r="264" spans="1:28" x14ac:dyDescent="0.25">
      <c r="A264" t="s">
        <v>268</v>
      </c>
      <c r="B264">
        <v>1</v>
      </c>
      <c r="C264">
        <v>1.081533991283</v>
      </c>
      <c r="D264">
        <v>1.39627273182706</v>
      </c>
      <c r="E264">
        <v>1.72025449626772</v>
      </c>
      <c r="F264">
        <v>1.73475777766645</v>
      </c>
      <c r="G264">
        <v>2.3153399128300198</v>
      </c>
      <c r="H264">
        <v>1.34913080506989</v>
      </c>
      <c r="I264">
        <v>1.8745303341516</v>
      </c>
      <c r="J264">
        <v>2.5795300836631401</v>
      </c>
      <c r="K264">
        <v>2.5184109012574498</v>
      </c>
      <c r="L264">
        <v>2163.3198083990201</v>
      </c>
      <c r="M264">
        <v>48.607092050430197</v>
      </c>
      <c r="O264">
        <v>44.431121100606603</v>
      </c>
      <c r="P264">
        <v>0.13674857131803</v>
      </c>
      <c r="Q264">
        <v>1.5</v>
      </c>
      <c r="R264">
        <v>-7.7725810393021205E-2</v>
      </c>
      <c r="S264" t="s">
        <v>2138</v>
      </c>
      <c r="T264" t="s">
        <v>3746</v>
      </c>
      <c r="U264" t="s">
        <v>3746</v>
      </c>
      <c r="V264" t="s">
        <v>3746</v>
      </c>
      <c r="W264" t="s">
        <v>4008</v>
      </c>
      <c r="X264">
        <v>1</v>
      </c>
      <c r="Y264" t="s">
        <v>5865</v>
      </c>
      <c r="Z264" t="s">
        <v>7652</v>
      </c>
      <c r="AA264">
        <v>1.42380700074041</v>
      </c>
      <c r="AB264" t="str">
        <f>HYPERLINK("Melting_Curves/meltCurve_E9PHI6_DYNC1LI1.pdf", "Melting_Curves/meltCurve_E9PHI6_DYNC1LI1.pdf")</f>
        <v>Melting_Curves/meltCurve_E9PHI6_DYNC1LI1.pdf</v>
      </c>
    </row>
    <row r="265" spans="1:28" x14ac:dyDescent="0.25">
      <c r="A265" t="s">
        <v>269</v>
      </c>
      <c r="B265">
        <v>1</v>
      </c>
      <c r="C265">
        <v>1.14143281241248</v>
      </c>
      <c r="D265">
        <v>1.67327620007842</v>
      </c>
      <c r="E265">
        <v>1.96062286450457</v>
      </c>
      <c r="F265">
        <v>1.41522433204503</v>
      </c>
      <c r="G265">
        <v>1.57110849717134</v>
      </c>
      <c r="H265">
        <v>0.91261972777684397</v>
      </c>
      <c r="I265">
        <v>1.4055340839074699</v>
      </c>
      <c r="J265">
        <v>1.43606116619056</v>
      </c>
      <c r="K265">
        <v>1.29563658768834</v>
      </c>
      <c r="L265">
        <v>10759.6678750951</v>
      </c>
      <c r="M265">
        <v>250</v>
      </c>
      <c r="O265">
        <v>43.035901403081702</v>
      </c>
      <c r="P265">
        <v>0.666246446097573</v>
      </c>
      <c r="Q265">
        <v>1.45876043184952</v>
      </c>
      <c r="R265">
        <v>0.28144850702678798</v>
      </c>
      <c r="S265" t="s">
        <v>2139</v>
      </c>
      <c r="T265" t="s">
        <v>3746</v>
      </c>
      <c r="U265" t="s">
        <v>3746</v>
      </c>
      <c r="V265" t="s">
        <v>3746</v>
      </c>
      <c r="W265" t="s">
        <v>4009</v>
      </c>
      <c r="X265">
        <v>8</v>
      </c>
      <c r="Y265" t="s">
        <v>5866</v>
      </c>
      <c r="Z265" t="s">
        <v>7653</v>
      </c>
      <c r="AA265">
        <v>1.4122583723272499</v>
      </c>
      <c r="AB265" t="str">
        <f>HYPERLINK("Melting_Curves/meltCurve_E9PHK0_CLEC3B.pdf", "Melting_Curves/meltCurve_E9PHK0_CLEC3B.pdf")</f>
        <v>Melting_Curves/meltCurve_E9PHK0_CLEC3B.pdf</v>
      </c>
    </row>
    <row r="266" spans="1:28" x14ac:dyDescent="0.25">
      <c r="A266" t="s">
        <v>270</v>
      </c>
      <c r="B266">
        <v>1</v>
      </c>
      <c r="C266">
        <v>0.82351232065525704</v>
      </c>
      <c r="D266">
        <v>1.45149909376427</v>
      </c>
      <c r="E266">
        <v>1.5642597230100901</v>
      </c>
      <c r="F266">
        <v>1.31369591986386</v>
      </c>
      <c r="G266">
        <v>1.4314373867205299</v>
      </c>
      <c r="H266">
        <v>0.97849938431312899</v>
      </c>
      <c r="I266">
        <v>1.7308410697732299</v>
      </c>
      <c r="J266">
        <v>1.8073522697400299</v>
      </c>
      <c r="K266">
        <v>1.5670268550161199</v>
      </c>
      <c r="L266">
        <v>11379.9833859763</v>
      </c>
      <c r="M266">
        <v>250</v>
      </c>
      <c r="O266">
        <v>45.517020558671199</v>
      </c>
      <c r="P266">
        <v>0.66558956192035201</v>
      </c>
      <c r="Q266">
        <v>1.4847304599304301</v>
      </c>
      <c r="R266">
        <v>0.50290852878682901</v>
      </c>
      <c r="S266" t="s">
        <v>2140</v>
      </c>
      <c r="T266" t="s">
        <v>3746</v>
      </c>
      <c r="U266" t="s">
        <v>3746</v>
      </c>
      <c r="V266" t="s">
        <v>3746</v>
      </c>
      <c r="W266" t="s">
        <v>4010</v>
      </c>
      <c r="X266">
        <v>2</v>
      </c>
      <c r="Y266" t="s">
        <v>5867</v>
      </c>
      <c r="Z266" t="s">
        <v>7654</v>
      </c>
      <c r="AA266">
        <v>1.3955024055265299</v>
      </c>
      <c r="AB266" t="str">
        <f>HYPERLINK("Melting_Curves/meltCurve_E9PI87_HTATIP2.pdf", "Melting_Curves/meltCurve_E9PI87_HTATIP2.pdf")</f>
        <v>Melting_Curves/meltCurve_E9PI87_HTATIP2.pdf</v>
      </c>
    </row>
    <row r="267" spans="1:28" x14ac:dyDescent="0.25">
      <c r="A267" t="s">
        <v>271</v>
      </c>
      <c r="B267">
        <v>1</v>
      </c>
      <c r="C267">
        <v>0.97139563369118798</v>
      </c>
      <c r="D267">
        <v>1.2179551840910701</v>
      </c>
      <c r="E267">
        <v>1.3635708624540701</v>
      </c>
      <c r="F267">
        <v>0.98789538151163603</v>
      </c>
      <c r="G267">
        <v>1.1348079832841</v>
      </c>
      <c r="H267">
        <v>0.69595071691043997</v>
      </c>
      <c r="I267">
        <v>0.97189999279487005</v>
      </c>
      <c r="J267">
        <v>1.0389077022840301</v>
      </c>
      <c r="K267">
        <v>0.94538511420131099</v>
      </c>
      <c r="L267">
        <v>2109.3444055701698</v>
      </c>
      <c r="M267">
        <v>36.1146714771888</v>
      </c>
      <c r="O267">
        <v>58.228644263769901</v>
      </c>
      <c r="P267">
        <v>-1.0848075920331801E-2</v>
      </c>
      <c r="Q267">
        <v>0.93003765788394399</v>
      </c>
      <c r="R267">
        <v>2.37763110571843E-2</v>
      </c>
      <c r="S267" t="s">
        <v>2141</v>
      </c>
      <c r="T267" t="s">
        <v>3746</v>
      </c>
      <c r="U267" t="s">
        <v>3746</v>
      </c>
      <c r="V267" t="s">
        <v>3746</v>
      </c>
      <c r="W267" t="s">
        <v>4011</v>
      </c>
      <c r="X267">
        <v>1</v>
      </c>
      <c r="Y267" t="s">
        <v>5868</v>
      </c>
      <c r="Z267" t="s">
        <v>7655</v>
      </c>
      <c r="AA267">
        <v>0.97329650695108338</v>
      </c>
      <c r="AB267" t="str">
        <f>HYPERLINK("Melting_Curves/meltCurve_E9PIN0_ATM.pdf", "Melting_Curves/meltCurve_E9PIN0_ATM.pdf")</f>
        <v>Melting_Curves/meltCurve_E9PIN0_ATM.pdf</v>
      </c>
    </row>
    <row r="268" spans="1:28" x14ac:dyDescent="0.25">
      <c r="A268" t="s">
        <v>272</v>
      </c>
      <c r="B268">
        <v>1</v>
      </c>
      <c r="C268">
        <v>1.0297869916847</v>
      </c>
      <c r="D268">
        <v>1.4263583551657399</v>
      </c>
      <c r="E268">
        <v>1.94247636405058</v>
      </c>
      <c r="F268">
        <v>1.38233283973118</v>
      </c>
      <c r="G268">
        <v>2.0542772525344599</v>
      </c>
      <c r="H268">
        <v>1.35260280214147</v>
      </c>
      <c r="I268">
        <v>2.2687094202073101</v>
      </c>
      <c r="J268">
        <v>2.1890875953981102</v>
      </c>
      <c r="K268">
        <v>2.1951247294680498</v>
      </c>
      <c r="L268">
        <v>3134.4772244027299</v>
      </c>
      <c r="M268">
        <v>69.984129621963504</v>
      </c>
      <c r="O268">
        <v>44.751877573510001</v>
      </c>
      <c r="P268">
        <v>0.195478263201809</v>
      </c>
      <c r="Q268">
        <v>1.5</v>
      </c>
      <c r="R268">
        <v>6.1700487102351098E-2</v>
      </c>
      <c r="S268" t="s">
        <v>2142</v>
      </c>
      <c r="T268" t="s">
        <v>3746</v>
      </c>
      <c r="U268" t="s">
        <v>3746</v>
      </c>
      <c r="V268" t="s">
        <v>3746</v>
      </c>
      <c r="W268" t="s">
        <v>4012</v>
      </c>
      <c r="X268">
        <v>6</v>
      </c>
      <c r="Y268" t="s">
        <v>5869</v>
      </c>
      <c r="Z268" t="s">
        <v>7656</v>
      </c>
      <c r="AA268">
        <v>1.4196885832726689</v>
      </c>
      <c r="AB268" t="str">
        <f>HYPERLINK("Melting_Curves/meltCurve_E9PIR7_TXNRD1.pdf", "Melting_Curves/meltCurve_E9PIR7_TXNRD1.pdf")</f>
        <v>Melting_Curves/meltCurve_E9PIR7_TXNRD1.pdf</v>
      </c>
    </row>
    <row r="269" spans="1:28" x14ac:dyDescent="0.25">
      <c r="A269" t="s">
        <v>273</v>
      </c>
      <c r="B269">
        <v>1</v>
      </c>
      <c r="C269">
        <v>1.2872247102820999</v>
      </c>
      <c r="D269">
        <v>1.4121150560967699</v>
      </c>
      <c r="E269">
        <v>1.63234683041692</v>
      </c>
      <c r="F269">
        <v>1.49799159702664</v>
      </c>
      <c r="G269">
        <v>2.34729211874971</v>
      </c>
      <c r="H269">
        <v>1.5460085876540901</v>
      </c>
      <c r="I269">
        <v>2.35237083891223</v>
      </c>
      <c r="J269">
        <v>2.2753820582667701</v>
      </c>
      <c r="K269">
        <v>2.0973960016621298</v>
      </c>
      <c r="L269">
        <v>1670.59326303174</v>
      </c>
      <c r="M269">
        <v>39.089212205949401</v>
      </c>
      <c r="O269">
        <v>42.626545157402298</v>
      </c>
      <c r="P269">
        <v>0.11462717056042999</v>
      </c>
      <c r="Q269">
        <v>1.5</v>
      </c>
      <c r="R269">
        <v>-0.14189617393763701</v>
      </c>
      <c r="S269" t="s">
        <v>2143</v>
      </c>
      <c r="T269" t="s">
        <v>3746</v>
      </c>
      <c r="U269" t="s">
        <v>3746</v>
      </c>
      <c r="V269" t="s">
        <v>3746</v>
      </c>
      <c r="W269" t="s">
        <v>4013</v>
      </c>
      <c r="X269">
        <v>1</v>
      </c>
      <c r="Y269" t="s">
        <v>5870</v>
      </c>
      <c r="Z269" t="s">
        <v>7657</v>
      </c>
      <c r="AA269">
        <v>1.451804790407607</v>
      </c>
      <c r="AB269" t="str">
        <f>HYPERLINK("Melting_Curves/meltCurve_E9PJ81_UBXN1.pdf", "Melting_Curves/meltCurve_E9PJ81_UBXN1.pdf")</f>
        <v>Melting_Curves/meltCurve_E9PJ81_UBXN1.pdf</v>
      </c>
    </row>
    <row r="270" spans="1:28" x14ac:dyDescent="0.25">
      <c r="A270" t="s">
        <v>274</v>
      </c>
      <c r="B270">
        <v>1</v>
      </c>
      <c r="C270">
        <v>0.94886832975384106</v>
      </c>
      <c r="D270">
        <v>1.3785726086238199</v>
      </c>
      <c r="E270">
        <v>1.49240046258054</v>
      </c>
      <c r="F270">
        <v>1.06013547001487</v>
      </c>
      <c r="G270">
        <v>2.3554435816950301</v>
      </c>
      <c r="H270">
        <v>1.5992070047910101</v>
      </c>
      <c r="I270">
        <v>2.15587312076656</v>
      </c>
      <c r="J270">
        <v>1.6471997356682599</v>
      </c>
      <c r="K270">
        <v>1.4557244341648801</v>
      </c>
      <c r="L270">
        <v>11447.693802612301</v>
      </c>
      <c r="M270">
        <v>250</v>
      </c>
      <c r="O270">
        <v>45.7878447119624</v>
      </c>
      <c r="P270">
        <v>0.682495542250522</v>
      </c>
      <c r="Q270">
        <v>1.5</v>
      </c>
      <c r="R270">
        <v>0.28877096857534101</v>
      </c>
      <c r="S270" t="s">
        <v>2144</v>
      </c>
      <c r="T270" t="s">
        <v>3746</v>
      </c>
      <c r="U270" t="s">
        <v>3746</v>
      </c>
      <c r="V270" t="s">
        <v>3746</v>
      </c>
      <c r="W270" t="s">
        <v>4014</v>
      </c>
      <c r="X270">
        <v>2</v>
      </c>
      <c r="Y270" t="s">
        <v>5871</v>
      </c>
      <c r="Z270" t="s">
        <v>7658</v>
      </c>
      <c r="AA270">
        <v>1.40344689877693</v>
      </c>
      <c r="AB270" t="str">
        <f>HYPERLINK("Melting_Curves/meltCurve_E9PJD9_RPL27A.pdf", "Melting_Curves/meltCurve_E9PJD9_RPL27A.pdf")</f>
        <v>Melting_Curves/meltCurve_E9PJD9_RPL27A.pdf</v>
      </c>
    </row>
    <row r="271" spans="1:28" x14ac:dyDescent="0.25">
      <c r="A271" t="s">
        <v>275</v>
      </c>
      <c r="B271">
        <v>1</v>
      </c>
      <c r="C271">
        <v>0.76219324996418303</v>
      </c>
      <c r="D271">
        <v>1.22612005976381</v>
      </c>
      <c r="E271">
        <v>1.2739106408235901</v>
      </c>
      <c r="F271">
        <v>0.878896416218097</v>
      </c>
      <c r="G271">
        <v>0.83890378435907398</v>
      </c>
      <c r="H271">
        <v>0.41562455228310002</v>
      </c>
      <c r="I271">
        <v>0.94613070263411003</v>
      </c>
      <c r="J271">
        <v>0.87871221269366995</v>
      </c>
      <c r="K271">
        <v>0.73632288831126302</v>
      </c>
      <c r="L271">
        <v>13247.6077779567</v>
      </c>
      <c r="M271">
        <v>250</v>
      </c>
      <c r="O271">
        <v>52.987061075817202</v>
      </c>
      <c r="P271">
        <v>-0.27938579004696101</v>
      </c>
      <c r="Q271">
        <v>0.76313878283595205</v>
      </c>
      <c r="R271">
        <v>0.34311526960301503</v>
      </c>
      <c r="S271" t="s">
        <v>2145</v>
      </c>
      <c r="T271" t="s">
        <v>3746</v>
      </c>
      <c r="U271" t="s">
        <v>3746</v>
      </c>
      <c r="V271" t="s">
        <v>3746</v>
      </c>
      <c r="W271" t="s">
        <v>4015</v>
      </c>
      <c r="X271">
        <v>2</v>
      </c>
      <c r="Y271" t="s">
        <v>5872</v>
      </c>
      <c r="Z271" t="s">
        <v>7659</v>
      </c>
      <c r="AA271">
        <v>0.86572512113011968</v>
      </c>
      <c r="AB271" t="str">
        <f>HYPERLINK("Melting_Curves/meltCurve_E9PJK1_CD81.pdf", "Melting_Curves/meltCurve_E9PJK1_CD81.pdf")</f>
        <v>Melting_Curves/meltCurve_E9PJK1_CD81.pdf</v>
      </c>
    </row>
    <row r="272" spans="1:28" x14ac:dyDescent="0.25">
      <c r="A272" t="s">
        <v>276</v>
      </c>
      <c r="B272">
        <v>1</v>
      </c>
      <c r="C272">
        <v>0.96489047873452405</v>
      </c>
      <c r="D272">
        <v>1.04901163736034</v>
      </c>
      <c r="E272">
        <v>1.26083017816079</v>
      </c>
      <c r="F272">
        <v>0.83871454786183797</v>
      </c>
      <c r="G272">
        <v>0.98603981324475598</v>
      </c>
      <c r="H272">
        <v>0.64230796032612503</v>
      </c>
      <c r="I272">
        <v>0.94569231841304502</v>
      </c>
      <c r="J272">
        <v>0.947086014262154</v>
      </c>
      <c r="K272">
        <v>0.84200134723932096</v>
      </c>
      <c r="L272">
        <v>12922.574793293599</v>
      </c>
      <c r="M272">
        <v>250</v>
      </c>
      <c r="O272">
        <v>51.686991349548201</v>
      </c>
      <c r="P272">
        <v>-0.16088874436459899</v>
      </c>
      <c r="Q272">
        <v>0.86694631797716004</v>
      </c>
      <c r="R272">
        <v>0.34367714619279199</v>
      </c>
      <c r="S272" t="s">
        <v>2146</v>
      </c>
      <c r="T272" t="s">
        <v>3746</v>
      </c>
      <c r="U272" t="s">
        <v>3746</v>
      </c>
      <c r="V272" t="s">
        <v>3746</v>
      </c>
      <c r="W272" t="s">
        <v>4016</v>
      </c>
      <c r="X272">
        <v>2</v>
      </c>
      <c r="Y272" t="s">
        <v>5873</v>
      </c>
      <c r="Z272" t="s">
        <v>7660</v>
      </c>
      <c r="AA272">
        <v>0.91880629966245797</v>
      </c>
      <c r="AB272" t="str">
        <f>HYPERLINK("Melting_Curves/meltCurve_E9PJP1_AAMDC.pdf", "Melting_Curves/meltCurve_E9PJP1_AAMDC.pdf")</f>
        <v>Melting_Curves/meltCurve_E9PJP1_AAMDC.pdf</v>
      </c>
    </row>
    <row r="273" spans="1:28" x14ac:dyDescent="0.25">
      <c r="A273" t="s">
        <v>277</v>
      </c>
      <c r="B273">
        <v>1</v>
      </c>
      <c r="C273">
        <v>1.0452993030876401</v>
      </c>
      <c r="D273">
        <v>1.4243319333548701</v>
      </c>
      <c r="E273">
        <v>1.99538468638944</v>
      </c>
      <c r="F273">
        <v>1.66580514145936</v>
      </c>
      <c r="G273">
        <v>2.2807264503622999</v>
      </c>
      <c r="H273">
        <v>1.39749388470947</v>
      </c>
      <c r="I273">
        <v>2.4403470715835098</v>
      </c>
      <c r="J273">
        <v>2.3831171828125699</v>
      </c>
      <c r="K273">
        <v>2.2574421931970301</v>
      </c>
      <c r="L273">
        <v>2830.9103908441298</v>
      </c>
      <c r="M273">
        <v>63.435233555536897</v>
      </c>
      <c r="O273">
        <v>44.582496019790703</v>
      </c>
      <c r="P273">
        <v>0.177859194407926</v>
      </c>
      <c r="Q273">
        <v>1.5</v>
      </c>
      <c r="R273">
        <v>-0.13539796225343301</v>
      </c>
      <c r="S273" t="s">
        <v>2147</v>
      </c>
      <c r="T273" t="s">
        <v>3746</v>
      </c>
      <c r="U273" t="s">
        <v>3746</v>
      </c>
      <c r="V273" t="s">
        <v>3746</v>
      </c>
      <c r="W273" t="s">
        <v>4017</v>
      </c>
      <c r="X273">
        <v>6</v>
      </c>
      <c r="Y273" t="s">
        <v>5874</v>
      </c>
      <c r="Z273" t="s">
        <v>7661</v>
      </c>
      <c r="AA273">
        <v>1.4222708063404981</v>
      </c>
      <c r="AB273" t="str">
        <f>HYPERLINK("Melting_Curves/meltCurve_E9PK01_EEF1D.pdf", "Melting_Curves/meltCurve_E9PK01_EEF1D.pdf")</f>
        <v>Melting_Curves/meltCurve_E9PK01_EEF1D.pdf</v>
      </c>
    </row>
    <row r="274" spans="1:28" x14ac:dyDescent="0.25">
      <c r="A274" t="s">
        <v>278</v>
      </c>
      <c r="B274">
        <v>1</v>
      </c>
      <c r="C274">
        <v>1.11052810902896</v>
      </c>
      <c r="D274">
        <v>1.45485519591141</v>
      </c>
      <c r="E274">
        <v>2.7552981260647398</v>
      </c>
      <c r="F274">
        <v>2.57424190800681</v>
      </c>
      <c r="G274">
        <v>3.3579557069846699</v>
      </c>
      <c r="H274">
        <v>2.3561839863713798</v>
      </c>
      <c r="I274">
        <v>3.35679727427598</v>
      </c>
      <c r="J274">
        <v>3.5839182282793902</v>
      </c>
      <c r="K274">
        <v>3.30909710391823</v>
      </c>
      <c r="L274">
        <v>2796.2364326527199</v>
      </c>
      <c r="M274">
        <v>63.884542731233203</v>
      </c>
      <c r="O274">
        <v>43.727327535634203</v>
      </c>
      <c r="P274">
        <v>0.182621963177655</v>
      </c>
      <c r="Q274">
        <v>1.5</v>
      </c>
      <c r="R274">
        <v>-1.07561596896415</v>
      </c>
      <c r="S274" t="s">
        <v>2148</v>
      </c>
      <c r="T274" t="s">
        <v>3746</v>
      </c>
      <c r="U274" t="s">
        <v>3746</v>
      </c>
      <c r="V274" t="s">
        <v>3746</v>
      </c>
      <c r="W274" t="s">
        <v>4018</v>
      </c>
      <c r="X274">
        <v>8</v>
      </c>
      <c r="Y274" t="s">
        <v>5875</v>
      </c>
      <c r="Z274" t="s">
        <v>7662</v>
      </c>
      <c r="AA274">
        <v>1.4365515263949</v>
      </c>
      <c r="AB274" t="str">
        <f>HYPERLINK("Melting_Curves/meltCurve_E9PK47_PYGL.pdf", "Melting_Curves/meltCurve_E9PK47_PYGL.pdf")</f>
        <v>Melting_Curves/meltCurve_E9PK47_PYGL.pdf</v>
      </c>
    </row>
    <row r="275" spans="1:28" x14ac:dyDescent="0.25">
      <c r="A275" t="s">
        <v>279</v>
      </c>
      <c r="B275">
        <v>1</v>
      </c>
      <c r="C275">
        <v>0.79562888985381397</v>
      </c>
      <c r="D275">
        <v>1.30619481835287</v>
      </c>
      <c r="E275">
        <v>1.53531625416124</v>
      </c>
      <c r="F275">
        <v>1.0258358662614</v>
      </c>
      <c r="G275">
        <v>1.70487769575915</v>
      </c>
      <c r="H275">
        <v>1.3179910261977099</v>
      </c>
      <c r="I275">
        <v>1.9074395715733099</v>
      </c>
      <c r="J275">
        <v>2.0198292082790599</v>
      </c>
      <c r="K275">
        <v>1.87501809234332</v>
      </c>
      <c r="L275">
        <v>11478.9610745747</v>
      </c>
      <c r="M275">
        <v>250</v>
      </c>
      <c r="O275">
        <v>45.9129065403231</v>
      </c>
      <c r="P275">
        <v>0.68063650870134196</v>
      </c>
      <c r="Q275">
        <v>1.5</v>
      </c>
      <c r="R275">
        <v>0.437609280643179</v>
      </c>
      <c r="S275" t="s">
        <v>2149</v>
      </c>
      <c r="T275" t="s">
        <v>3746</v>
      </c>
      <c r="U275" t="s">
        <v>3746</v>
      </c>
      <c r="V275" t="s">
        <v>3746</v>
      </c>
      <c r="W275" t="s">
        <v>4019</v>
      </c>
      <c r="X275">
        <v>1</v>
      </c>
      <c r="Y275" t="s">
        <v>5876</v>
      </c>
      <c r="Z275" t="s">
        <v>7663</v>
      </c>
      <c r="AA275">
        <v>1.401362304232282</v>
      </c>
      <c r="AB275" t="str">
        <f>HYPERLINK("Melting_Curves/meltCurve_E9PKP6_PICALM.pdf", "Melting_Curves/meltCurve_E9PKP6_PICALM.pdf")</f>
        <v>Melting_Curves/meltCurve_E9PKP6_PICALM.pdf</v>
      </c>
    </row>
    <row r="276" spans="1:28" x14ac:dyDescent="0.25">
      <c r="A276" t="s">
        <v>280</v>
      </c>
      <c r="B276">
        <v>1</v>
      </c>
      <c r="C276">
        <v>1.0832006702974399</v>
      </c>
      <c r="D276">
        <v>1.4367546432062599</v>
      </c>
      <c r="E276">
        <v>1.4761346180701</v>
      </c>
      <c r="F276">
        <v>1.4154726993436699</v>
      </c>
      <c r="G276">
        <v>1.2361960620025101</v>
      </c>
      <c r="H276">
        <v>0.79874319229157897</v>
      </c>
      <c r="I276">
        <v>1.35771540287669</v>
      </c>
      <c r="J276">
        <v>1.1630219243122499</v>
      </c>
      <c r="K276">
        <v>1.01072475911186</v>
      </c>
      <c r="L276">
        <v>10751.3142746187</v>
      </c>
      <c r="M276">
        <v>250</v>
      </c>
      <c r="O276">
        <v>43.002520232794502</v>
      </c>
      <c r="P276">
        <v>0.34423199526967202</v>
      </c>
      <c r="Q276">
        <v>1.23684541000767</v>
      </c>
      <c r="R276">
        <v>0.141127508485801</v>
      </c>
      <c r="S276" t="s">
        <v>2150</v>
      </c>
      <c r="T276" t="s">
        <v>3746</v>
      </c>
      <c r="U276" t="s">
        <v>3746</v>
      </c>
      <c r="V276" t="s">
        <v>3746</v>
      </c>
      <c r="W276" t="s">
        <v>4020</v>
      </c>
      <c r="X276">
        <v>2</v>
      </c>
      <c r="Y276" t="s">
        <v>5877</v>
      </c>
      <c r="Z276" t="s">
        <v>7664</v>
      </c>
      <c r="AA276">
        <v>1.213101489445132</v>
      </c>
      <c r="AB276" t="str">
        <f>HYPERLINK("Melting_Curves/meltCurve_E9PKZ0_RPL8.pdf", "Melting_Curves/meltCurve_E9PKZ0_RPL8.pdf")</f>
        <v>Melting_Curves/meltCurve_E9PKZ0_RPL8.pdf</v>
      </c>
    </row>
    <row r="277" spans="1:28" x14ac:dyDescent="0.25">
      <c r="A277" t="s">
        <v>281</v>
      </c>
      <c r="B277">
        <v>1</v>
      </c>
      <c r="C277">
        <v>1.0931626991229599</v>
      </c>
      <c r="D277">
        <v>1.39842491498121</v>
      </c>
      <c r="E277">
        <v>1.54537318775729</v>
      </c>
      <c r="F277">
        <v>1.14990155718633</v>
      </c>
      <c r="G277">
        <v>1.2840522641847101</v>
      </c>
      <c r="H277">
        <v>0.78400751745122599</v>
      </c>
      <c r="I277">
        <v>1.11464113119742</v>
      </c>
      <c r="J277">
        <v>1.08707714336853</v>
      </c>
      <c r="K277">
        <v>1.0978163594057599</v>
      </c>
      <c r="L277">
        <v>1.0000000000000001E-5</v>
      </c>
      <c r="M277">
        <v>1.0000000000000001E-5</v>
      </c>
      <c r="Q277">
        <v>1.3108898287849</v>
      </c>
      <c r="R277">
        <v>-5.1027504444078903E-9</v>
      </c>
      <c r="S277" t="s">
        <v>2151</v>
      </c>
      <c r="T277" t="s">
        <v>3746</v>
      </c>
      <c r="U277" t="s">
        <v>3746</v>
      </c>
      <c r="V277" t="s">
        <v>3746</v>
      </c>
      <c r="W277" t="s">
        <v>4021</v>
      </c>
      <c r="X277">
        <v>3</v>
      </c>
      <c r="Y277" t="s">
        <v>5878</v>
      </c>
      <c r="Z277" t="s">
        <v>7665</v>
      </c>
      <c r="AA277">
        <v>1.155445677118784</v>
      </c>
      <c r="AB277" t="str">
        <f>HYPERLINK("Melting_Curves/meltCurve_E9PL10_BTF3L4.pdf", "Melting_Curves/meltCurve_E9PL10_BTF3L4.pdf")</f>
        <v>Melting_Curves/meltCurve_E9PL10_BTF3L4.pdf</v>
      </c>
    </row>
    <row r="278" spans="1:28" x14ac:dyDescent="0.25">
      <c r="A278" t="s">
        <v>282</v>
      </c>
      <c r="B278">
        <v>1</v>
      </c>
      <c r="C278">
        <v>1.0251522482689599</v>
      </c>
      <c r="D278">
        <v>1.41273880036706</v>
      </c>
      <c r="E278">
        <v>1.7420956035705299</v>
      </c>
      <c r="F278">
        <v>1.2605739551180399</v>
      </c>
      <c r="G278">
        <v>1.3666472011345601</v>
      </c>
      <c r="H278">
        <v>0.87982814715942304</v>
      </c>
      <c r="I278">
        <v>1.36977559022274</v>
      </c>
      <c r="J278">
        <v>1.3447067656628</v>
      </c>
      <c r="K278">
        <v>1.2618670226078299</v>
      </c>
      <c r="L278">
        <v>10831.997624424301</v>
      </c>
      <c r="M278">
        <v>250</v>
      </c>
      <c r="O278">
        <v>43.3252183541127</v>
      </c>
      <c r="P278">
        <v>0.47573209372251701</v>
      </c>
      <c r="Q278">
        <v>1.3297791447659399</v>
      </c>
      <c r="R278">
        <v>0.29156842392015098</v>
      </c>
      <c r="S278" t="s">
        <v>2152</v>
      </c>
      <c r="T278" t="s">
        <v>3746</v>
      </c>
      <c r="U278" t="s">
        <v>3746</v>
      </c>
      <c r="V278" t="s">
        <v>3746</v>
      </c>
      <c r="W278" t="s">
        <v>4022</v>
      </c>
      <c r="X278">
        <v>23</v>
      </c>
      <c r="Y278" t="s">
        <v>5879</v>
      </c>
      <c r="Z278" t="s">
        <v>7666</v>
      </c>
      <c r="AA278">
        <v>1.2931706730377781</v>
      </c>
      <c r="AB278" t="str">
        <f>HYPERLINK("Melting_Curves/meltCurve_E9PL22_HYOU1.pdf", "Melting_Curves/meltCurve_E9PL22_HYOU1.pdf")</f>
        <v>Melting_Curves/meltCurve_E9PL22_HYOU1.pdf</v>
      </c>
    </row>
    <row r="279" spans="1:28" x14ac:dyDescent="0.25">
      <c r="A279" t="s">
        <v>283</v>
      </c>
      <c r="B279">
        <v>1</v>
      </c>
      <c r="C279">
        <v>1.0406571180913899</v>
      </c>
      <c r="D279">
        <v>1.2480290584884599</v>
      </c>
      <c r="E279">
        <v>1.3132042762207501</v>
      </c>
      <c r="F279">
        <v>1.1258513229042</v>
      </c>
      <c r="G279">
        <v>1.2972303628183399</v>
      </c>
      <c r="H279">
        <v>0.73752424980393805</v>
      </c>
      <c r="I279">
        <v>1.0217938663474599</v>
      </c>
      <c r="J279">
        <v>1.0954719940562201</v>
      </c>
      <c r="K279">
        <v>0.982746522474925</v>
      </c>
      <c r="L279">
        <v>10743.153438023801</v>
      </c>
      <c r="M279">
        <v>250</v>
      </c>
      <c r="O279">
        <v>42.969863712148197</v>
      </c>
      <c r="P279">
        <v>0.14942369690673599</v>
      </c>
      <c r="Q279">
        <v>1.1027314543285101</v>
      </c>
      <c r="R279">
        <v>4.3324948850202098E-2</v>
      </c>
      <c r="S279" t="s">
        <v>2153</v>
      </c>
      <c r="T279" t="s">
        <v>3746</v>
      </c>
      <c r="U279" t="s">
        <v>3746</v>
      </c>
      <c r="V279" t="s">
        <v>3746</v>
      </c>
      <c r="W279" t="s">
        <v>4023</v>
      </c>
      <c r="X279">
        <v>1</v>
      </c>
      <c r="Y279" t="s">
        <v>5880</v>
      </c>
      <c r="Z279" t="s">
        <v>7667</v>
      </c>
      <c r="AA279">
        <v>1.092544342237606</v>
      </c>
      <c r="AB279" t="str">
        <f>HYPERLINK("Melting_Curves/meltCurve_E9PL74_PLEKHA7.pdf", "Melting_Curves/meltCurve_E9PL74_PLEKHA7.pdf")</f>
        <v>Melting_Curves/meltCurve_E9PL74_PLEKHA7.pdf</v>
      </c>
    </row>
    <row r="280" spans="1:28" x14ac:dyDescent="0.25">
      <c r="A280" t="s">
        <v>284</v>
      </c>
      <c r="B280">
        <v>1</v>
      </c>
      <c r="C280">
        <v>1.1952068958011399</v>
      </c>
      <c r="D280">
        <v>0.98637382730023304</v>
      </c>
      <c r="E280">
        <v>1.6409742931150799</v>
      </c>
      <c r="F280">
        <v>1.4507520515443699</v>
      </c>
      <c r="G280">
        <v>1.48061644282885</v>
      </c>
      <c r="H280">
        <v>0.91780762282057404</v>
      </c>
      <c r="I280">
        <v>1.93735443285954</v>
      </c>
      <c r="J280">
        <v>1.55172939204632</v>
      </c>
      <c r="K280">
        <v>1.24729544415664</v>
      </c>
      <c r="L280">
        <v>11919.313102772399</v>
      </c>
      <c r="M280">
        <v>250</v>
      </c>
      <c r="O280">
        <v>47.674201276261201</v>
      </c>
      <c r="P280">
        <v>0.60427462140741195</v>
      </c>
      <c r="Q280">
        <v>1.46093295932723</v>
      </c>
      <c r="R280">
        <v>0.33481709491987999</v>
      </c>
      <c r="S280" t="s">
        <v>2154</v>
      </c>
      <c r="T280" t="s">
        <v>3746</v>
      </c>
      <c r="U280" t="s">
        <v>3746</v>
      </c>
      <c r="V280" t="s">
        <v>3746</v>
      </c>
      <c r="W280" t="s">
        <v>4024</v>
      </c>
      <c r="X280">
        <v>1</v>
      </c>
      <c r="Y280" t="s">
        <v>5881</v>
      </c>
      <c r="Z280" t="s">
        <v>7668</v>
      </c>
      <c r="AA280">
        <v>1.3429377693144811</v>
      </c>
      <c r="AB280" t="str">
        <f>HYPERLINK("Melting_Curves/meltCurve_E9PLB2_IPO7.pdf", "Melting_Curves/meltCurve_E9PLB2_IPO7.pdf")</f>
        <v>Melting_Curves/meltCurve_E9PLB2_IPO7.pdf</v>
      </c>
    </row>
    <row r="281" spans="1:28" x14ac:dyDescent="0.25">
      <c r="A281" t="s">
        <v>285</v>
      </c>
      <c r="B281">
        <v>1</v>
      </c>
      <c r="C281">
        <v>1.02099069183256</v>
      </c>
      <c r="D281">
        <v>1.5620687875294601</v>
      </c>
      <c r="E281">
        <v>2.22570155365531</v>
      </c>
      <c r="F281">
        <v>1.8031348393868001</v>
      </c>
      <c r="G281">
        <v>2.3039865108996702</v>
      </c>
      <c r="H281">
        <v>1.5196744722217399</v>
      </c>
      <c r="I281">
        <v>2.4645136869634001</v>
      </c>
      <c r="J281">
        <v>2.40412243423203</v>
      </c>
      <c r="K281">
        <v>2.2769738992790902</v>
      </c>
      <c r="S281" t="s">
        <v>2155</v>
      </c>
      <c r="T281" t="s">
        <v>3746</v>
      </c>
      <c r="U281" t="s">
        <v>3747</v>
      </c>
      <c r="V281" t="s">
        <v>3746</v>
      </c>
      <c r="W281" t="s">
        <v>4025</v>
      </c>
      <c r="X281">
        <v>12</v>
      </c>
      <c r="Y281" t="s">
        <v>5882</v>
      </c>
      <c r="Z281" t="s">
        <v>7669</v>
      </c>
      <c r="AB281" t="str">
        <f>HYPERLINK("Melting_Curves/meltCurve_E9PLK3_NPEPPS.pdf", "Melting_Curves/meltCurve_E9PLK3_NPEPPS.pdf")</f>
        <v>Melting_Curves/meltCurve_E9PLK3_NPEPPS.pdf</v>
      </c>
    </row>
    <row r="282" spans="1:28" x14ac:dyDescent="0.25">
      <c r="A282" t="s">
        <v>286</v>
      </c>
      <c r="B282">
        <v>1</v>
      </c>
      <c r="C282">
        <v>1.0535937088632199</v>
      </c>
      <c r="D282">
        <v>1.3076773388583001</v>
      </c>
      <c r="E282">
        <v>2.1092936207232098</v>
      </c>
      <c r="F282">
        <v>1.8001167569052601</v>
      </c>
      <c r="G282">
        <v>2.2174654594155299</v>
      </c>
      <c r="H282">
        <v>1.37223703941118</v>
      </c>
      <c r="I282">
        <v>2.2617644028799999</v>
      </c>
      <c r="J282">
        <v>2.1899932464142999</v>
      </c>
      <c r="K282">
        <v>2.1574844610295201</v>
      </c>
      <c r="S282" t="s">
        <v>2156</v>
      </c>
      <c r="T282" t="s">
        <v>3746</v>
      </c>
      <c r="U282" t="s">
        <v>3747</v>
      </c>
      <c r="V282" t="s">
        <v>3746</v>
      </c>
      <c r="W282" t="s">
        <v>4026</v>
      </c>
      <c r="X282">
        <v>4</v>
      </c>
      <c r="Y282" t="s">
        <v>5883</v>
      </c>
      <c r="Z282" t="s">
        <v>7670</v>
      </c>
      <c r="AB282" t="str">
        <f>HYPERLINK("Melting_Curves/meltCurve_E9PM69_PSMC3.pdf", "Melting_Curves/meltCurve_E9PM69_PSMC3.pdf")</f>
        <v>Melting_Curves/meltCurve_E9PM69_PSMC3.pdf</v>
      </c>
    </row>
    <row r="283" spans="1:28" x14ac:dyDescent="0.25">
      <c r="A283" t="s">
        <v>287</v>
      </c>
      <c r="B283">
        <v>1</v>
      </c>
      <c r="C283">
        <v>1.0785482825664301</v>
      </c>
      <c r="D283">
        <v>1.5413696262691701</v>
      </c>
      <c r="E283">
        <v>2.1513501836249702</v>
      </c>
      <c r="F283">
        <v>1.14629509613307</v>
      </c>
      <c r="G283">
        <v>1.4467487578310601</v>
      </c>
      <c r="H283">
        <v>1.16150356448477</v>
      </c>
      <c r="I283">
        <v>1.7672499459926601</v>
      </c>
      <c r="J283">
        <v>1.6546554331389101</v>
      </c>
      <c r="K283">
        <v>1.82095484985958</v>
      </c>
      <c r="L283">
        <v>10797.071603522199</v>
      </c>
      <c r="M283">
        <v>250</v>
      </c>
      <c r="O283">
        <v>43.185522695352901</v>
      </c>
      <c r="P283">
        <v>0.723622133503803</v>
      </c>
      <c r="Q283">
        <v>1.5</v>
      </c>
      <c r="R283">
        <v>0.32756628379604502</v>
      </c>
      <c r="S283" t="s">
        <v>2157</v>
      </c>
      <c r="T283" t="s">
        <v>3746</v>
      </c>
      <c r="U283" t="s">
        <v>3746</v>
      </c>
      <c r="V283" t="s">
        <v>3746</v>
      </c>
      <c r="W283" t="s">
        <v>4027</v>
      </c>
      <c r="X283">
        <v>2</v>
      </c>
      <c r="Y283" t="s">
        <v>5884</v>
      </c>
      <c r="Z283" t="s">
        <v>7671</v>
      </c>
      <c r="AA283">
        <v>1.4468239957078339</v>
      </c>
      <c r="AB283" t="str">
        <f>HYPERLINK("Melting_Curves/meltCurve_E9PMD7_PPP1CA.pdf", "Melting_Curves/meltCurve_E9PMD7_PPP1CA.pdf")</f>
        <v>Melting_Curves/meltCurve_E9PMD7_PPP1CA.pdf</v>
      </c>
    </row>
    <row r="284" spans="1:28" x14ac:dyDescent="0.25">
      <c r="A284" t="s">
        <v>288</v>
      </c>
      <c r="B284">
        <v>1</v>
      </c>
      <c r="C284">
        <v>1.3362410316419</v>
      </c>
      <c r="D284">
        <v>1.494509650958</v>
      </c>
      <c r="E284">
        <v>2.1819557226103101</v>
      </c>
      <c r="F284">
        <v>1.4323369147666201</v>
      </c>
      <c r="G284">
        <v>1.9271184236965599</v>
      </c>
      <c r="H284">
        <v>0.92370246917957999</v>
      </c>
      <c r="I284">
        <v>1.5547912012576399</v>
      </c>
      <c r="J284">
        <v>1.40609671051854</v>
      </c>
      <c r="K284">
        <v>1.6628251953240401</v>
      </c>
      <c r="L284">
        <v>3965.2388647572502</v>
      </c>
      <c r="M284">
        <v>93.148940410215005</v>
      </c>
      <c r="O284">
        <v>42.549193396615401</v>
      </c>
      <c r="P284">
        <v>0.27365074278273599</v>
      </c>
      <c r="Q284">
        <v>1.5</v>
      </c>
      <c r="R284">
        <v>0.21264963078784099</v>
      </c>
      <c r="S284" t="s">
        <v>2158</v>
      </c>
      <c r="T284" t="s">
        <v>3746</v>
      </c>
      <c r="U284" t="s">
        <v>3746</v>
      </c>
      <c r="V284" t="s">
        <v>3746</v>
      </c>
      <c r="W284" t="s">
        <v>4028</v>
      </c>
      <c r="X284">
        <v>1</v>
      </c>
      <c r="Y284" t="s">
        <v>5885</v>
      </c>
      <c r="Z284" t="s">
        <v>7672</v>
      </c>
      <c r="AA284">
        <v>1.456900566915329</v>
      </c>
      <c r="AB284" t="str">
        <f>HYPERLINK("Melting_Curves/meltCurve_E9PMT1_CASP4.pdf", "Melting_Curves/meltCurve_E9PMT1_CASP4.pdf")</f>
        <v>Melting_Curves/meltCurve_E9PMT1_CASP4.pdf</v>
      </c>
    </row>
    <row r="285" spans="1:28" x14ac:dyDescent="0.25">
      <c r="A285" t="s">
        <v>289</v>
      </c>
      <c r="B285">
        <v>1</v>
      </c>
      <c r="C285">
        <v>0.98911183698864502</v>
      </c>
      <c r="D285">
        <v>1.6589671799657799</v>
      </c>
      <c r="E285">
        <v>1.6354409706019599</v>
      </c>
      <c r="F285">
        <v>1.11611448125681</v>
      </c>
      <c r="G285">
        <v>1.4791958313890201</v>
      </c>
      <c r="H285">
        <v>0.74105615181210105</v>
      </c>
      <c r="I285">
        <v>1.2267459947114601</v>
      </c>
      <c r="J285">
        <v>1.3942681599004501</v>
      </c>
      <c r="K285">
        <v>1.03838077461503</v>
      </c>
      <c r="L285">
        <v>11022.5852926517</v>
      </c>
      <c r="M285">
        <v>250</v>
      </c>
      <c r="O285">
        <v>44.087519967695897</v>
      </c>
      <c r="P285">
        <v>0.405825463581307</v>
      </c>
      <c r="Q285">
        <v>1.2862694094691101</v>
      </c>
      <c r="R285">
        <v>0.162561385125675</v>
      </c>
      <c r="S285" t="s">
        <v>2159</v>
      </c>
      <c r="T285" t="s">
        <v>3746</v>
      </c>
      <c r="U285" t="s">
        <v>3746</v>
      </c>
      <c r="V285" t="s">
        <v>3746</v>
      </c>
      <c r="W285" t="s">
        <v>4029</v>
      </c>
      <c r="X285">
        <v>1</v>
      </c>
      <c r="Y285" t="s">
        <v>5886</v>
      </c>
      <c r="Z285" t="s">
        <v>7673</v>
      </c>
      <c r="AA285">
        <v>1.247215940172846</v>
      </c>
      <c r="AB285" t="str">
        <f>HYPERLINK("Melting_Curves/meltCurve_E9PMY3_PTP4A2.pdf", "Melting_Curves/meltCurve_E9PMY3_PTP4A2.pdf")</f>
        <v>Melting_Curves/meltCurve_E9PMY3_PTP4A2.pdf</v>
      </c>
    </row>
    <row r="286" spans="1:28" x14ac:dyDescent="0.25">
      <c r="A286" t="s">
        <v>290</v>
      </c>
      <c r="B286">
        <v>1</v>
      </c>
      <c r="C286">
        <v>1.29587303819872</v>
      </c>
      <c r="D286">
        <v>1.46277998523155</v>
      </c>
      <c r="E286">
        <v>2.4224949306703198</v>
      </c>
      <c r="F286">
        <v>1.07477993834757</v>
      </c>
      <c r="G286">
        <v>1.1416364851084799</v>
      </c>
      <c r="H286">
        <v>0.77563674297033403</v>
      </c>
      <c r="I286">
        <v>1.44461244535087</v>
      </c>
      <c r="J286">
        <v>1.0592379010044899</v>
      </c>
      <c r="K286">
        <v>1.5815136490969</v>
      </c>
      <c r="L286">
        <v>10665.8142217405</v>
      </c>
      <c r="M286">
        <v>250</v>
      </c>
      <c r="O286">
        <v>42.660508189598701</v>
      </c>
      <c r="P286">
        <v>0.542563197906196</v>
      </c>
      <c r="Q286">
        <v>1.3703365094970601</v>
      </c>
      <c r="R286">
        <v>6.5422052583195694E-2</v>
      </c>
      <c r="S286" t="s">
        <v>2160</v>
      </c>
      <c r="T286" t="s">
        <v>3746</v>
      </c>
      <c r="U286" t="s">
        <v>3746</v>
      </c>
      <c r="V286" t="s">
        <v>3746</v>
      </c>
      <c r="W286" t="s">
        <v>4030</v>
      </c>
      <c r="X286">
        <v>1</v>
      </c>
      <c r="Y286" t="s">
        <v>5887</v>
      </c>
      <c r="Z286" t="s">
        <v>7674</v>
      </c>
      <c r="AA286">
        <v>1.3374320724057429</v>
      </c>
      <c r="AB286" t="str">
        <f>HYPERLINK("Melting_Curves/meltCurve_E9PNA1_B3GAT3.pdf", "Melting_Curves/meltCurve_E9PNA1_B3GAT3.pdf")</f>
        <v>Melting_Curves/meltCurve_E9PNA1_B3GAT3.pdf</v>
      </c>
    </row>
    <row r="287" spans="1:28" x14ac:dyDescent="0.25">
      <c r="A287" t="s">
        <v>291</v>
      </c>
      <c r="B287">
        <v>1</v>
      </c>
      <c r="C287">
        <v>1.03380450228106</v>
      </c>
      <c r="D287">
        <v>1.2482237678558099</v>
      </c>
      <c r="E287">
        <v>1.48936130431531</v>
      </c>
      <c r="F287">
        <v>1.0183606312168101</v>
      </c>
      <c r="G287">
        <v>1.3350908682970599</v>
      </c>
      <c r="H287">
        <v>0.79633161319273005</v>
      </c>
      <c r="I287">
        <v>1.20514546406402</v>
      </c>
      <c r="J287">
        <v>1.1794555381048499</v>
      </c>
      <c r="K287">
        <v>1.07927604517239</v>
      </c>
      <c r="L287">
        <v>10784.434808653399</v>
      </c>
      <c r="M287">
        <v>250</v>
      </c>
      <c r="O287">
        <v>43.134978703745702</v>
      </c>
      <c r="P287">
        <v>0.24473417398529701</v>
      </c>
      <c r="Q287">
        <v>1.16890565393556</v>
      </c>
      <c r="R287">
        <v>0.108786760151455</v>
      </c>
      <c r="S287" t="s">
        <v>2161</v>
      </c>
      <c r="T287" t="s">
        <v>3746</v>
      </c>
      <c r="U287" t="s">
        <v>3746</v>
      </c>
      <c r="V287" t="s">
        <v>3746</v>
      </c>
      <c r="W287" t="s">
        <v>4031</v>
      </c>
      <c r="X287">
        <v>4</v>
      </c>
      <c r="Y287" t="s">
        <v>5888</v>
      </c>
      <c r="Z287" t="s">
        <v>7675</v>
      </c>
      <c r="AA287">
        <v>1.1512268035079261</v>
      </c>
      <c r="AB287" t="str">
        <f>HYPERLINK("Melting_Curves/meltCurve_E9PNK6_TPD52L1.pdf", "Melting_Curves/meltCurve_E9PNK6_TPD52L1.pdf")</f>
        <v>Melting_Curves/meltCurve_E9PNK6_TPD52L1.pdf</v>
      </c>
    </row>
    <row r="288" spans="1:28" x14ac:dyDescent="0.25">
      <c r="A288" t="s">
        <v>292</v>
      </c>
      <c r="B288">
        <v>1</v>
      </c>
      <c r="C288">
        <v>0.90868501266474899</v>
      </c>
      <c r="D288">
        <v>1.2769501566994399</v>
      </c>
      <c r="E288">
        <v>1.5852831322715</v>
      </c>
      <c r="F288">
        <v>0.80947065642038396</v>
      </c>
      <c r="G288">
        <v>0.75533422058129096</v>
      </c>
      <c r="H288">
        <v>0.619456489073971</v>
      </c>
      <c r="I288">
        <v>0.84643455115270705</v>
      </c>
      <c r="J288">
        <v>0.947409092860516</v>
      </c>
      <c r="K288">
        <v>0.93757781307689003</v>
      </c>
      <c r="L288">
        <v>12969.244686464101</v>
      </c>
      <c r="M288">
        <v>250</v>
      </c>
      <c r="O288">
        <v>51.873660023366703</v>
      </c>
      <c r="P288">
        <v>-0.21790036439553101</v>
      </c>
      <c r="Q288">
        <v>0.81914737316067299</v>
      </c>
      <c r="R288">
        <v>0.27010247092732997</v>
      </c>
      <c r="S288" t="s">
        <v>2162</v>
      </c>
      <c r="T288" t="s">
        <v>3746</v>
      </c>
      <c r="U288" t="s">
        <v>3746</v>
      </c>
      <c r="V288" t="s">
        <v>3746</v>
      </c>
      <c r="W288" t="s">
        <v>4032</v>
      </c>
      <c r="X288">
        <v>4</v>
      </c>
      <c r="Y288" t="s">
        <v>5889</v>
      </c>
      <c r="Z288" t="s">
        <v>7676</v>
      </c>
      <c r="AA288">
        <v>0.89076326541564887</v>
      </c>
      <c r="AB288" t="str">
        <f>HYPERLINK("Melting_Curves/meltCurve_E9PNW4_CD59.pdf", "Melting_Curves/meltCurve_E9PNW4_CD59.pdf")</f>
        <v>Melting_Curves/meltCurve_E9PNW4_CD59.pdf</v>
      </c>
    </row>
    <row r="289" spans="1:28" x14ac:dyDescent="0.25">
      <c r="A289" t="s">
        <v>293</v>
      </c>
      <c r="B289">
        <v>1</v>
      </c>
      <c r="C289">
        <v>1.0380013149243901</v>
      </c>
      <c r="D289">
        <v>1.83057199211045</v>
      </c>
      <c r="E289">
        <v>2.3953977646285298</v>
      </c>
      <c r="F289">
        <v>1.83570019723866</v>
      </c>
      <c r="G289">
        <v>2.1673898750821801</v>
      </c>
      <c r="H289">
        <v>1.26844181459566</v>
      </c>
      <c r="I289">
        <v>1.9595003287310999</v>
      </c>
      <c r="J289">
        <v>2.1017094017094</v>
      </c>
      <c r="K289">
        <v>1.78310322156476</v>
      </c>
      <c r="L289">
        <v>10832.159029468299</v>
      </c>
      <c r="M289">
        <v>250</v>
      </c>
      <c r="O289">
        <v>43.325863956334999</v>
      </c>
      <c r="P289">
        <v>0.72127818360659002</v>
      </c>
      <c r="Q289">
        <v>1.5</v>
      </c>
      <c r="R289">
        <v>-4.96388250091317E-2</v>
      </c>
      <c r="S289" t="s">
        <v>2163</v>
      </c>
      <c r="T289" t="s">
        <v>3746</v>
      </c>
      <c r="U289" t="s">
        <v>3746</v>
      </c>
      <c r="V289" t="s">
        <v>3746</v>
      </c>
      <c r="W289" t="s">
        <v>4033</v>
      </c>
      <c r="X289">
        <v>2</v>
      </c>
      <c r="Y289" t="s">
        <v>5890</v>
      </c>
      <c r="Z289" t="s">
        <v>7677</v>
      </c>
      <c r="AA289">
        <v>1.4444847108255079</v>
      </c>
      <c r="AB289" t="str">
        <f>HYPERLINK("Melting_Curves/meltCurve_E9PP31_CAPRIN1.pdf", "Melting_Curves/meltCurve_E9PP31_CAPRIN1.pdf")</f>
        <v>Melting_Curves/meltCurve_E9PP31_CAPRIN1.pdf</v>
      </c>
    </row>
    <row r="290" spans="1:28" x14ac:dyDescent="0.25">
      <c r="A290" t="s">
        <v>294</v>
      </c>
      <c r="B290">
        <v>1</v>
      </c>
      <c r="C290">
        <v>0.84968985816443499</v>
      </c>
      <c r="D290">
        <v>1.38287700999565</v>
      </c>
      <c r="E290">
        <v>1.7805104500019799</v>
      </c>
      <c r="F290">
        <v>1.2808067638576099</v>
      </c>
      <c r="G290">
        <v>1.5685867804511899</v>
      </c>
      <c r="H290">
        <v>1.05511437714828</v>
      </c>
      <c r="I290">
        <v>1.61386353759235</v>
      </c>
      <c r="J290">
        <v>1.6254987949903199</v>
      </c>
      <c r="K290">
        <v>1.42195093042551</v>
      </c>
      <c r="L290">
        <v>11435.965961329101</v>
      </c>
      <c r="M290">
        <v>250</v>
      </c>
      <c r="O290">
        <v>45.740936556767203</v>
      </c>
      <c r="P290">
        <v>0.65319959857166998</v>
      </c>
      <c r="Q290">
        <v>1.4780473816342601</v>
      </c>
      <c r="R290">
        <v>0.54833868543084097</v>
      </c>
      <c r="S290" t="s">
        <v>2164</v>
      </c>
      <c r="T290" t="s">
        <v>3746</v>
      </c>
      <c r="U290" t="s">
        <v>3746</v>
      </c>
      <c r="V290" t="s">
        <v>3746</v>
      </c>
      <c r="W290" t="s">
        <v>3921</v>
      </c>
      <c r="X290">
        <v>2</v>
      </c>
      <c r="Y290" t="s">
        <v>5891</v>
      </c>
      <c r="Z290" t="s">
        <v>7678</v>
      </c>
      <c r="AA290">
        <v>1.386481035043593</v>
      </c>
      <c r="AB290" t="str">
        <f>HYPERLINK("Melting_Curves/meltCurve_E9PP73_COPB1.pdf", "Melting_Curves/meltCurve_E9PP73_COPB1.pdf")</f>
        <v>Melting_Curves/meltCurve_E9PP73_COPB1.pdf</v>
      </c>
    </row>
    <row r="291" spans="1:28" x14ac:dyDescent="0.25">
      <c r="A291" t="s">
        <v>295</v>
      </c>
      <c r="B291">
        <v>1</v>
      </c>
      <c r="C291">
        <v>1.3380950027186</v>
      </c>
      <c r="D291">
        <v>2.1289605061539199</v>
      </c>
      <c r="E291">
        <v>3.5554841579753802</v>
      </c>
      <c r="F291">
        <v>2.8154317631357801</v>
      </c>
      <c r="G291">
        <v>3.6112401759675699</v>
      </c>
      <c r="H291">
        <v>2.4624586031338001</v>
      </c>
      <c r="I291">
        <v>3.8675794572685498</v>
      </c>
      <c r="J291">
        <v>4.2912856507340198</v>
      </c>
      <c r="K291">
        <v>3.4615194503484799</v>
      </c>
      <c r="S291" t="s">
        <v>2165</v>
      </c>
      <c r="T291" t="s">
        <v>3746</v>
      </c>
      <c r="U291" t="s">
        <v>3747</v>
      </c>
      <c r="V291" t="s">
        <v>3746</v>
      </c>
      <c r="W291" t="s">
        <v>4027</v>
      </c>
      <c r="X291">
        <v>1</v>
      </c>
      <c r="Y291" t="s">
        <v>5892</v>
      </c>
      <c r="Z291" t="s">
        <v>7679</v>
      </c>
      <c r="AB291" t="str">
        <f>HYPERLINK("Melting_Curves/meltCurve_E9PPC8_PPP3CA.pdf", "Melting_Curves/meltCurve_E9PPC8_PPP3CA.pdf")</f>
        <v>Melting_Curves/meltCurve_E9PPC8_PPP3CA.pdf</v>
      </c>
    </row>
    <row r="292" spans="1:28" x14ac:dyDescent="0.25">
      <c r="A292" t="s">
        <v>296</v>
      </c>
      <c r="B292">
        <v>1</v>
      </c>
      <c r="C292">
        <v>0.93132865951516197</v>
      </c>
      <c r="D292">
        <v>0.94518118084297698</v>
      </c>
      <c r="E292">
        <v>1.2318607990539701</v>
      </c>
      <c r="F292">
        <v>0.78344454768139205</v>
      </c>
      <c r="G292">
        <v>0.93707238787059699</v>
      </c>
      <c r="H292">
        <v>0.51162260326041098</v>
      </c>
      <c r="I292">
        <v>0.83719908776079099</v>
      </c>
      <c r="J292">
        <v>0.82936058788749001</v>
      </c>
      <c r="K292">
        <v>0.73370217079145195</v>
      </c>
      <c r="L292">
        <v>13103.635539435199</v>
      </c>
      <c r="M292">
        <v>250</v>
      </c>
      <c r="O292">
        <v>52.411188396891703</v>
      </c>
      <c r="P292">
        <v>-0.27452761356799299</v>
      </c>
      <c r="Q292">
        <v>0.76978690652629</v>
      </c>
      <c r="R292">
        <v>0.48086779681742597</v>
      </c>
      <c r="S292" t="s">
        <v>2166</v>
      </c>
      <c r="T292" t="s">
        <v>3746</v>
      </c>
      <c r="U292" t="s">
        <v>3746</v>
      </c>
      <c r="V292" t="s">
        <v>3746</v>
      </c>
      <c r="W292" t="s">
        <v>4034</v>
      </c>
      <c r="X292">
        <v>5</v>
      </c>
      <c r="Y292" t="s">
        <v>5893</v>
      </c>
      <c r="Z292" t="s">
        <v>7680</v>
      </c>
      <c r="AA292">
        <v>0.86507442154348602</v>
      </c>
      <c r="AB292" t="str">
        <f>HYPERLINK("Melting_Curves/meltCurve_E9PPJ5_MDK.pdf", "Melting_Curves/meltCurve_E9PPJ5_MDK.pdf")</f>
        <v>Melting_Curves/meltCurve_E9PPJ5_MDK.pdf</v>
      </c>
    </row>
    <row r="293" spans="1:28" x14ac:dyDescent="0.25">
      <c r="A293" t="s">
        <v>297</v>
      </c>
      <c r="B293">
        <v>1</v>
      </c>
      <c r="C293">
        <v>0.74517403860769105</v>
      </c>
      <c r="D293">
        <v>0.95994832041343703</v>
      </c>
      <c r="E293">
        <v>1.3183361199777099</v>
      </c>
      <c r="F293">
        <v>0.86154177433247203</v>
      </c>
      <c r="G293">
        <v>0.66966864265085901</v>
      </c>
      <c r="H293">
        <v>0.74438871155697395</v>
      </c>
      <c r="I293">
        <v>0.75488929421897999</v>
      </c>
      <c r="J293">
        <v>0.93941581800678897</v>
      </c>
      <c r="K293">
        <v>0.88693823782743098</v>
      </c>
      <c r="L293">
        <v>13207.8295741293</v>
      </c>
      <c r="M293">
        <v>250</v>
      </c>
      <c r="O293">
        <v>52.827945112997902</v>
      </c>
      <c r="P293">
        <v>-0.23772928869014301</v>
      </c>
      <c r="Q293">
        <v>0.79906003231047795</v>
      </c>
      <c r="R293">
        <v>0.306021255177861</v>
      </c>
      <c r="S293" t="s">
        <v>2167</v>
      </c>
      <c r="T293" t="s">
        <v>3746</v>
      </c>
      <c r="U293" t="s">
        <v>3746</v>
      </c>
      <c r="V293" t="s">
        <v>3746</v>
      </c>
      <c r="W293" t="s">
        <v>4035</v>
      </c>
      <c r="X293">
        <v>3</v>
      </c>
      <c r="Y293" t="s">
        <v>5894</v>
      </c>
      <c r="Z293" t="s">
        <v>7681</v>
      </c>
      <c r="AA293">
        <v>0.8850228192213464</v>
      </c>
      <c r="AB293" t="str">
        <f>HYPERLINK("Melting_Curves/meltCurve_E9PQI5_CHMP4A.pdf", "Melting_Curves/meltCurve_E9PQI5_CHMP4A.pdf")</f>
        <v>Melting_Curves/meltCurve_E9PQI5_CHMP4A.pdf</v>
      </c>
    </row>
    <row r="294" spans="1:28" x14ac:dyDescent="0.25">
      <c r="A294" t="s">
        <v>298</v>
      </c>
      <c r="B294">
        <v>1</v>
      </c>
      <c r="C294">
        <v>1.00532079440698</v>
      </c>
      <c r="D294">
        <v>2.1397636577368102</v>
      </c>
      <c r="E294">
        <v>3.0213450473303198</v>
      </c>
      <c r="F294">
        <v>1.99699931943327</v>
      </c>
      <c r="G294">
        <v>2.0436800098991501</v>
      </c>
      <c r="H294">
        <v>1.2877250510425</v>
      </c>
      <c r="I294">
        <v>2.1563447379818101</v>
      </c>
      <c r="J294">
        <v>2.1332364041329002</v>
      </c>
      <c r="K294">
        <v>1.99183319928231</v>
      </c>
      <c r="L294">
        <v>10918.039632051201</v>
      </c>
      <c r="M294">
        <v>250</v>
      </c>
      <c r="O294">
        <v>43.669364033231403</v>
      </c>
      <c r="P294">
        <v>0.71560465547266605</v>
      </c>
      <c r="Q294">
        <v>1.5</v>
      </c>
      <c r="R294">
        <v>-0.26964302095256998</v>
      </c>
      <c r="S294" t="s">
        <v>2168</v>
      </c>
      <c r="T294" t="s">
        <v>3746</v>
      </c>
      <c r="U294" t="s">
        <v>3746</v>
      </c>
      <c r="V294" t="s">
        <v>3746</v>
      </c>
      <c r="W294" t="s">
        <v>4036</v>
      </c>
      <c r="X294">
        <v>1</v>
      </c>
      <c r="Y294" t="s">
        <v>5895</v>
      </c>
      <c r="Z294" t="s">
        <v>7682</v>
      </c>
      <c r="AA294">
        <v>1.4387590358837281</v>
      </c>
      <c r="AB294" t="str">
        <f>HYPERLINK("Melting_Curves/meltCurve_E9PQY2_PFDN4.pdf", "Melting_Curves/meltCurve_E9PQY2_PFDN4.pdf")</f>
        <v>Melting_Curves/meltCurve_E9PQY2_PFDN4.pdf</v>
      </c>
    </row>
    <row r="295" spans="1:28" x14ac:dyDescent="0.25">
      <c r="A295" t="s">
        <v>299</v>
      </c>
      <c r="B295">
        <v>1</v>
      </c>
      <c r="C295">
        <v>0.88390174942569399</v>
      </c>
      <c r="D295">
        <v>1.03755080402898</v>
      </c>
      <c r="E295">
        <v>1.1318254108499699</v>
      </c>
      <c r="F295">
        <v>0.89450432938681701</v>
      </c>
      <c r="G295">
        <v>0.96907580844672203</v>
      </c>
      <c r="H295">
        <v>0.57602933380455901</v>
      </c>
      <c r="I295">
        <v>0.85769570595511602</v>
      </c>
      <c r="J295">
        <v>0.72925428520940105</v>
      </c>
      <c r="K295">
        <v>0.72660364021912005</v>
      </c>
      <c r="L295">
        <v>14368.362029263901</v>
      </c>
      <c r="M295">
        <v>250</v>
      </c>
      <c r="O295">
        <v>57.469776637367197</v>
      </c>
      <c r="P295">
        <v>-0.30190247748453602</v>
      </c>
      <c r="Q295">
        <v>0.72239574422120101</v>
      </c>
      <c r="R295">
        <v>0.66716570311711298</v>
      </c>
      <c r="S295" t="s">
        <v>2169</v>
      </c>
      <c r="T295" t="s">
        <v>3746</v>
      </c>
      <c r="U295" t="s">
        <v>3746</v>
      </c>
      <c r="V295" t="s">
        <v>3746</v>
      </c>
      <c r="W295" t="s">
        <v>4037</v>
      </c>
      <c r="X295">
        <v>1</v>
      </c>
      <c r="Y295" t="s">
        <v>5896</v>
      </c>
      <c r="Z295" t="s">
        <v>7683</v>
      </c>
      <c r="AA295">
        <v>0.88411386345721477</v>
      </c>
      <c r="AB295" t="str">
        <f>HYPERLINK("Melting_Curves/meltCurve_E9PR30_FAU.pdf", "Melting_Curves/meltCurve_E9PR30_FAU.pdf")</f>
        <v>Melting_Curves/meltCurve_E9PR30_FAU.pdf</v>
      </c>
    </row>
    <row r="296" spans="1:28" x14ac:dyDescent="0.25">
      <c r="A296" t="s">
        <v>300</v>
      </c>
      <c r="B296">
        <v>1</v>
      </c>
      <c r="C296">
        <v>1.0873469094566</v>
      </c>
      <c r="D296">
        <v>1.28649929964443</v>
      </c>
      <c r="E296">
        <v>1.4989764034048101</v>
      </c>
      <c r="F296">
        <v>1.0200050281938</v>
      </c>
      <c r="G296">
        <v>1.13996336601659</v>
      </c>
      <c r="H296">
        <v>0.670222317997342</v>
      </c>
      <c r="I296">
        <v>1.0362029953668801</v>
      </c>
      <c r="J296">
        <v>0.98150342994648598</v>
      </c>
      <c r="K296">
        <v>0.92260173113529398</v>
      </c>
      <c r="L296">
        <v>2121.1763034895298</v>
      </c>
      <c r="M296">
        <v>36.286563251354501</v>
      </c>
      <c r="O296">
        <v>58.279562010930398</v>
      </c>
      <c r="P296">
        <v>-1.23781910656845E-2</v>
      </c>
      <c r="Q296">
        <v>0.92047818852406704</v>
      </c>
      <c r="R296">
        <v>-4.2319592088667597E-2</v>
      </c>
      <c r="S296" t="s">
        <v>2170</v>
      </c>
      <c r="T296" t="s">
        <v>3746</v>
      </c>
      <c r="U296" t="s">
        <v>3746</v>
      </c>
      <c r="V296" t="s">
        <v>3746</v>
      </c>
      <c r="W296" t="s">
        <v>4038</v>
      </c>
      <c r="X296">
        <v>2</v>
      </c>
      <c r="Y296" t="s">
        <v>5897</v>
      </c>
      <c r="Z296" t="s">
        <v>7684</v>
      </c>
      <c r="AA296">
        <v>0.96977544148566097</v>
      </c>
      <c r="AB296" t="str">
        <f>HYPERLINK("Melting_Curves/meltCurve_E9PRR2_PRSS23.pdf", "Melting_Curves/meltCurve_E9PRR2_PRSS23.pdf")</f>
        <v>Melting_Curves/meltCurve_E9PRR2_PRSS23.pdf</v>
      </c>
    </row>
    <row r="297" spans="1:28" x14ac:dyDescent="0.25">
      <c r="A297" t="s">
        <v>301</v>
      </c>
      <c r="B297">
        <v>1</v>
      </c>
      <c r="C297">
        <v>1.04591234915162</v>
      </c>
      <c r="D297">
        <v>1.57218038290536</v>
      </c>
      <c r="E297">
        <v>1.8452953452499801</v>
      </c>
      <c r="F297">
        <v>1.5193721077942099</v>
      </c>
      <c r="G297">
        <v>1.6767988385808901</v>
      </c>
      <c r="H297">
        <v>1.1780237727973899</v>
      </c>
      <c r="I297">
        <v>1.94528627166319</v>
      </c>
      <c r="J297">
        <v>2.1670447327828701</v>
      </c>
      <c r="K297">
        <v>2.0948189819435599</v>
      </c>
      <c r="L297">
        <v>10823.307421426</v>
      </c>
      <c r="M297">
        <v>250</v>
      </c>
      <c r="O297">
        <v>43.290459082696898</v>
      </c>
      <c r="P297">
        <v>0.72186806538140502</v>
      </c>
      <c r="Q297">
        <v>1.5</v>
      </c>
      <c r="R297">
        <v>0.216387888458762</v>
      </c>
      <c r="S297" t="s">
        <v>2171</v>
      </c>
      <c r="T297" t="s">
        <v>3746</v>
      </c>
      <c r="U297" t="s">
        <v>3746</v>
      </c>
      <c r="V297" t="s">
        <v>3746</v>
      </c>
      <c r="W297" t="s">
        <v>4039</v>
      </c>
      <c r="X297">
        <v>4</v>
      </c>
      <c r="Y297" t="s">
        <v>5898</v>
      </c>
      <c r="Z297" t="s">
        <v>7685</v>
      </c>
      <c r="AA297">
        <v>1.445074849096633</v>
      </c>
      <c r="AB297" t="str">
        <f>HYPERLINK("Melting_Curves/meltCurve_F2Z2U8_MYH14.pdf", "Melting_Curves/meltCurve_F2Z2U8_MYH14.pdf")</f>
        <v>Melting_Curves/meltCurve_F2Z2U8_MYH14.pdf</v>
      </c>
    </row>
    <row r="298" spans="1:28" x14ac:dyDescent="0.25">
      <c r="A298" t="s">
        <v>302</v>
      </c>
      <c r="B298">
        <v>1</v>
      </c>
      <c r="C298">
        <v>1.1291442834662799</v>
      </c>
      <c r="D298">
        <v>1.75712192739704</v>
      </c>
      <c r="E298">
        <v>2.3716967822453698</v>
      </c>
      <c r="F298">
        <v>1.80764013240002</v>
      </c>
      <c r="G298">
        <v>2.18205002984427</v>
      </c>
      <c r="H298">
        <v>1.3122252970861099</v>
      </c>
      <c r="I298">
        <v>2.1210049378696598</v>
      </c>
      <c r="J298">
        <v>2.1582831407021499</v>
      </c>
      <c r="K298">
        <v>1.89684736013891</v>
      </c>
      <c r="L298">
        <v>10770.254423419899</v>
      </c>
      <c r="M298">
        <v>250</v>
      </c>
      <c r="O298">
        <v>43.078260968743997</v>
      </c>
      <c r="P298">
        <v>0.72542390199649798</v>
      </c>
      <c r="Q298">
        <v>1.5</v>
      </c>
      <c r="R298">
        <v>-0.177287085062803</v>
      </c>
      <c r="S298" t="s">
        <v>2172</v>
      </c>
      <c r="T298" t="s">
        <v>3746</v>
      </c>
      <c r="U298" t="s">
        <v>3746</v>
      </c>
      <c r="V298" t="s">
        <v>3746</v>
      </c>
      <c r="W298" t="s">
        <v>4040</v>
      </c>
      <c r="X298">
        <v>3</v>
      </c>
      <c r="Y298" t="s">
        <v>5899</v>
      </c>
      <c r="Z298" t="s">
        <v>7686</v>
      </c>
      <c r="AA298">
        <v>1.4486119018369019</v>
      </c>
      <c r="AB298" t="str">
        <f>HYPERLINK("Melting_Curves/meltCurve_F2Z393_TALDO1.pdf", "Melting_Curves/meltCurve_F2Z393_TALDO1.pdf")</f>
        <v>Melting_Curves/meltCurve_F2Z393_TALDO1.pdf</v>
      </c>
    </row>
    <row r="299" spans="1:28" x14ac:dyDescent="0.25">
      <c r="A299" t="s">
        <v>303</v>
      </c>
      <c r="B299">
        <v>1</v>
      </c>
      <c r="C299">
        <v>1.07010496306855</v>
      </c>
      <c r="D299">
        <v>1.7083495313377399</v>
      </c>
      <c r="E299">
        <v>2.2010280333462902</v>
      </c>
      <c r="F299">
        <v>2.0911839661353699</v>
      </c>
      <c r="G299">
        <v>2.4469353375664098</v>
      </c>
      <c r="H299">
        <v>1.51842253034426</v>
      </c>
      <c r="I299">
        <v>2.1137315882683301</v>
      </c>
      <c r="J299">
        <v>2.1713964839531799</v>
      </c>
      <c r="K299">
        <v>2.0778800051833599</v>
      </c>
      <c r="L299">
        <v>10802.800897176299</v>
      </c>
      <c r="M299">
        <v>250</v>
      </c>
      <c r="O299">
        <v>43.208438369920103</v>
      </c>
      <c r="P299">
        <v>0.72323835861645502</v>
      </c>
      <c r="Q299">
        <v>1.5</v>
      </c>
      <c r="R299">
        <v>-0.32423893682362798</v>
      </c>
      <c r="S299" t="s">
        <v>2173</v>
      </c>
      <c r="T299" t="s">
        <v>3746</v>
      </c>
      <c r="U299" t="s">
        <v>3746</v>
      </c>
      <c r="V299" t="s">
        <v>3746</v>
      </c>
      <c r="W299" t="s">
        <v>4041</v>
      </c>
      <c r="X299">
        <v>2</v>
      </c>
      <c r="Y299" t="s">
        <v>5900</v>
      </c>
      <c r="Z299" t="s">
        <v>7687</v>
      </c>
      <c r="AA299">
        <v>1.4464420226886461</v>
      </c>
      <c r="AB299" t="str">
        <f>HYPERLINK("Melting_Curves/meltCurve_F5GWT4_WNK1.pdf", "Melting_Curves/meltCurve_F5GWT4_WNK1.pdf")</f>
        <v>Melting_Curves/meltCurve_F5GWT4_WNK1.pdf</v>
      </c>
    </row>
    <row r="300" spans="1:28" x14ac:dyDescent="0.25">
      <c r="A300" t="s">
        <v>304</v>
      </c>
      <c r="B300">
        <v>1</v>
      </c>
      <c r="C300">
        <v>1.0206404434746701</v>
      </c>
      <c r="D300">
        <v>1.3853275933242899</v>
      </c>
      <c r="E300">
        <v>1.67393996579584</v>
      </c>
      <c r="F300">
        <v>0.91667158105796998</v>
      </c>
      <c r="G300">
        <v>0.90192840714749101</v>
      </c>
      <c r="H300">
        <v>0.88895441410626896</v>
      </c>
      <c r="I300">
        <v>0.98201332782921502</v>
      </c>
      <c r="J300">
        <v>1.0793182756383799</v>
      </c>
      <c r="K300">
        <v>1.1219555345874901</v>
      </c>
      <c r="L300">
        <v>15000</v>
      </c>
      <c r="M300">
        <v>224.50104504762001</v>
      </c>
      <c r="O300">
        <v>66.809531757598904</v>
      </c>
      <c r="P300">
        <v>0.102457439116576</v>
      </c>
      <c r="Q300">
        <v>1.12196172211884</v>
      </c>
      <c r="R300">
        <v>-0.13066062996667399</v>
      </c>
      <c r="S300" t="s">
        <v>2174</v>
      </c>
      <c r="T300" t="s">
        <v>3746</v>
      </c>
      <c r="U300" t="s">
        <v>3746</v>
      </c>
      <c r="V300" t="s">
        <v>3746</v>
      </c>
      <c r="W300" t="s">
        <v>4042</v>
      </c>
      <c r="X300">
        <v>6</v>
      </c>
      <c r="Y300" t="s">
        <v>5901</v>
      </c>
      <c r="Z300" t="s">
        <v>7688</v>
      </c>
      <c r="AA300">
        <v>1.012931259270357</v>
      </c>
      <c r="AB300" t="str">
        <f>HYPERLINK("Melting_Curves/meltCurve_F5GWY5_PODXL.pdf", "Melting_Curves/meltCurve_F5GWY5_PODXL.pdf")</f>
        <v>Melting_Curves/meltCurve_F5GWY5_PODXL.pdf</v>
      </c>
    </row>
    <row r="301" spans="1:28" x14ac:dyDescent="0.25">
      <c r="A301" t="s">
        <v>305</v>
      </c>
      <c r="B301">
        <v>1</v>
      </c>
      <c r="C301">
        <v>0.88270784333776497</v>
      </c>
      <c r="D301">
        <v>1.3013805092545201</v>
      </c>
      <c r="E301">
        <v>1.9429594028019199</v>
      </c>
      <c r="F301">
        <v>1.5731260865119101</v>
      </c>
      <c r="G301">
        <v>1.85924941200532</v>
      </c>
      <c r="H301">
        <v>1.52573882810103</v>
      </c>
      <c r="I301">
        <v>2.4953471725125298</v>
      </c>
      <c r="J301">
        <v>2.51988955925964</v>
      </c>
      <c r="K301">
        <v>1.9750894774516801</v>
      </c>
      <c r="L301">
        <v>11480.818798017501</v>
      </c>
      <c r="M301">
        <v>250</v>
      </c>
      <c r="O301">
        <v>45.920337070434798</v>
      </c>
      <c r="P301">
        <v>0.68052637418670103</v>
      </c>
      <c r="Q301">
        <v>1.5</v>
      </c>
      <c r="R301">
        <v>7.9917688691406003E-2</v>
      </c>
      <c r="S301" t="s">
        <v>2175</v>
      </c>
      <c r="T301" t="s">
        <v>3746</v>
      </c>
      <c r="U301" t="s">
        <v>3746</v>
      </c>
      <c r="V301" t="s">
        <v>3746</v>
      </c>
      <c r="W301" t="s">
        <v>4043</v>
      </c>
      <c r="X301">
        <v>2</v>
      </c>
      <c r="Y301" t="s">
        <v>5902</v>
      </c>
      <c r="Z301" t="s">
        <v>7689</v>
      </c>
      <c r="AA301">
        <v>1.4012384494822021</v>
      </c>
      <c r="AB301" t="str">
        <f>HYPERLINK("Melting_Curves/meltCurve_F5GX71_MPI.pdf", "Melting_Curves/meltCurve_F5GX71_MPI.pdf")</f>
        <v>Melting_Curves/meltCurve_F5GX71_MPI.pdf</v>
      </c>
    </row>
    <row r="302" spans="1:28" x14ac:dyDescent="0.25">
      <c r="A302" t="s">
        <v>306</v>
      </c>
      <c r="B302">
        <v>1</v>
      </c>
      <c r="C302">
        <v>0.965923038047794</v>
      </c>
      <c r="D302">
        <v>1.36878203739802</v>
      </c>
      <c r="E302">
        <v>1.3164392462638099</v>
      </c>
      <c r="F302">
        <v>0.90780449065049496</v>
      </c>
      <c r="G302">
        <v>1.1919716987943101</v>
      </c>
      <c r="H302">
        <v>0.54526748971193395</v>
      </c>
      <c r="I302">
        <v>1.03039491733449</v>
      </c>
      <c r="J302">
        <v>0.87127283228647801</v>
      </c>
      <c r="K302">
        <v>0.895170023824995</v>
      </c>
      <c r="L302">
        <v>2424.9617952664398</v>
      </c>
      <c r="M302">
        <v>41.364047179378602</v>
      </c>
      <c r="O302">
        <v>58.488345789876902</v>
      </c>
      <c r="P302">
        <v>-2.57898617686774E-2</v>
      </c>
      <c r="Q302">
        <v>0.85413385012433696</v>
      </c>
      <c r="R302">
        <v>0.15053315982938401</v>
      </c>
      <c r="S302" t="s">
        <v>2176</v>
      </c>
      <c r="T302" t="s">
        <v>3746</v>
      </c>
      <c r="U302" t="s">
        <v>3746</v>
      </c>
      <c r="V302" t="s">
        <v>3746</v>
      </c>
      <c r="W302" t="s">
        <v>4044</v>
      </c>
      <c r="X302">
        <v>1</v>
      </c>
      <c r="Y302" t="s">
        <v>5903</v>
      </c>
      <c r="Z302" t="s">
        <v>7690</v>
      </c>
      <c r="AA302">
        <v>0.94523179298409366</v>
      </c>
      <c r="AB302" t="str">
        <f>HYPERLINK("Melting_Curves/meltCurve_F5GX85_TRIM3.pdf", "Melting_Curves/meltCurve_F5GX85_TRIM3.pdf")</f>
        <v>Melting_Curves/meltCurve_F5GX85_TRIM3.pdf</v>
      </c>
    </row>
    <row r="303" spans="1:28" x14ac:dyDescent="0.25">
      <c r="A303" t="s">
        <v>307</v>
      </c>
      <c r="B303">
        <v>1</v>
      </c>
      <c r="C303">
        <v>1.1347507331378299</v>
      </c>
      <c r="D303">
        <v>1.5322580645161299</v>
      </c>
      <c r="E303">
        <v>1.90021994134897</v>
      </c>
      <c r="F303">
        <v>0.63837976539589403</v>
      </c>
      <c r="G303">
        <v>1.66561583577713</v>
      </c>
      <c r="H303">
        <v>0.95956744868035204</v>
      </c>
      <c r="I303">
        <v>1.2901026392961901</v>
      </c>
      <c r="J303">
        <v>1.5927785923753699</v>
      </c>
      <c r="K303">
        <v>1.6998900293255099</v>
      </c>
      <c r="L303">
        <v>10755.6181768756</v>
      </c>
      <c r="M303">
        <v>250</v>
      </c>
      <c r="O303">
        <v>43.019719666351797</v>
      </c>
      <c r="P303">
        <v>0.59544138372167599</v>
      </c>
      <c r="Q303">
        <v>1.40985154094229</v>
      </c>
      <c r="R303">
        <v>0.13592355177999699</v>
      </c>
      <c r="S303" t="s">
        <v>2177</v>
      </c>
      <c r="T303" t="s">
        <v>3746</v>
      </c>
      <c r="U303" t="s">
        <v>3746</v>
      </c>
      <c r="V303" t="s">
        <v>3746</v>
      </c>
      <c r="W303" t="s">
        <v>4045</v>
      </c>
      <c r="X303">
        <v>1</v>
      </c>
      <c r="Y303" t="s">
        <v>5904</v>
      </c>
      <c r="Z303" t="s">
        <v>7691</v>
      </c>
      <c r="AA303">
        <v>1.368528425705658</v>
      </c>
      <c r="AB303" t="str">
        <f>HYPERLINK("Melting_Curves/meltCurve_F5GXC3_TRAPPC13.pdf", "Melting_Curves/meltCurve_F5GXC3_TRAPPC13.pdf")</f>
        <v>Melting_Curves/meltCurve_F5GXC3_TRAPPC13.pdf</v>
      </c>
    </row>
    <row r="304" spans="1:28" x14ac:dyDescent="0.25">
      <c r="A304" t="s">
        <v>308</v>
      </c>
      <c r="B304">
        <v>1</v>
      </c>
      <c r="C304">
        <v>1.0295643271527699</v>
      </c>
      <c r="D304">
        <v>1.4379479012626599</v>
      </c>
      <c r="E304">
        <v>1.6958252758503001</v>
      </c>
      <c r="F304">
        <v>1.2073711750654099</v>
      </c>
      <c r="G304">
        <v>1.4409054715049501</v>
      </c>
      <c r="H304">
        <v>0.74666135820725699</v>
      </c>
      <c r="I304">
        <v>1.26106245023319</v>
      </c>
      <c r="J304">
        <v>1.1164827664657</v>
      </c>
      <c r="K304">
        <v>1.0587532703901701</v>
      </c>
      <c r="L304">
        <v>10810.3270823639</v>
      </c>
      <c r="M304">
        <v>250</v>
      </c>
      <c r="O304">
        <v>43.238541215668299</v>
      </c>
      <c r="P304">
        <v>0.355045227555362</v>
      </c>
      <c r="Q304">
        <v>1.24562620274833</v>
      </c>
      <c r="R304">
        <v>0.12872266745653099</v>
      </c>
      <c r="S304" t="s">
        <v>2178</v>
      </c>
      <c r="T304" t="s">
        <v>3746</v>
      </c>
      <c r="U304" t="s">
        <v>3746</v>
      </c>
      <c r="V304" t="s">
        <v>3746</v>
      </c>
      <c r="W304" t="s">
        <v>4046</v>
      </c>
      <c r="X304">
        <v>8</v>
      </c>
      <c r="Y304" t="s">
        <v>5905</v>
      </c>
      <c r="Z304" t="s">
        <v>7692</v>
      </c>
      <c r="AA304">
        <v>1.219069220811893</v>
      </c>
      <c r="AB304" t="str">
        <f>HYPERLINK("Melting_Curves/meltCurve_F5GXI4_PTPRK.pdf", "Melting_Curves/meltCurve_F5GXI4_PTPRK.pdf")</f>
        <v>Melting_Curves/meltCurve_F5GXI4_PTPRK.pdf</v>
      </c>
    </row>
    <row r="305" spans="1:28" x14ac:dyDescent="0.25">
      <c r="A305" t="s">
        <v>309</v>
      </c>
      <c r="B305">
        <v>1</v>
      </c>
      <c r="C305">
        <v>1.1230254731749001</v>
      </c>
      <c r="D305">
        <v>1.52549689293677</v>
      </c>
      <c r="E305">
        <v>1.8549641857596899</v>
      </c>
      <c r="F305">
        <v>1.1090555476495401</v>
      </c>
      <c r="G305">
        <v>1.44473696693705</v>
      </c>
      <c r="H305">
        <v>0.57691760352924404</v>
      </c>
      <c r="I305">
        <v>1.53102319624306</v>
      </c>
      <c r="J305">
        <v>1.28324083297756</v>
      </c>
      <c r="K305">
        <v>1.3052986101228601</v>
      </c>
      <c r="L305">
        <v>10747.075978761901</v>
      </c>
      <c r="M305">
        <v>250</v>
      </c>
      <c r="O305">
        <v>42.985552916501703</v>
      </c>
      <c r="P305">
        <v>0.47812826893342197</v>
      </c>
      <c r="Q305">
        <v>1.3288417279429301</v>
      </c>
      <c r="R305">
        <v>0.110025456096168</v>
      </c>
      <c r="S305" t="s">
        <v>2179</v>
      </c>
      <c r="T305" t="s">
        <v>3746</v>
      </c>
      <c r="U305" t="s">
        <v>3746</v>
      </c>
      <c r="V305" t="s">
        <v>3746</v>
      </c>
      <c r="W305" t="s">
        <v>4047</v>
      </c>
      <c r="X305">
        <v>2</v>
      </c>
      <c r="Y305" t="s">
        <v>5906</v>
      </c>
      <c r="Z305" t="s">
        <v>7693</v>
      </c>
      <c r="AA305">
        <v>1.2960609514246531</v>
      </c>
      <c r="AB305" t="str">
        <f>HYPERLINK("Melting_Curves/meltCurve_F5GXQ0_BROX.pdf", "Melting_Curves/meltCurve_F5GXQ0_BROX.pdf")</f>
        <v>Melting_Curves/meltCurve_F5GXQ0_BROX.pdf</v>
      </c>
    </row>
    <row r="306" spans="1:28" x14ac:dyDescent="0.25">
      <c r="A306" t="s">
        <v>310</v>
      </c>
      <c r="B306">
        <v>1</v>
      </c>
      <c r="C306">
        <v>1.06748360372799</v>
      </c>
      <c r="D306">
        <v>1.22367966862271</v>
      </c>
      <c r="E306">
        <v>1.5560349787136101</v>
      </c>
      <c r="F306">
        <v>1.1884133011161</v>
      </c>
      <c r="G306">
        <v>1.4233690024162899</v>
      </c>
      <c r="H306">
        <v>0.485720860660453</v>
      </c>
      <c r="I306">
        <v>1.1278909216430799</v>
      </c>
      <c r="J306">
        <v>1.0811183983431101</v>
      </c>
      <c r="K306">
        <v>1.0532159705442401</v>
      </c>
      <c r="L306">
        <v>10729.499917879801</v>
      </c>
      <c r="M306">
        <v>250</v>
      </c>
      <c r="O306">
        <v>42.9152532184305</v>
      </c>
      <c r="P306">
        <v>0.20742972595082601</v>
      </c>
      <c r="Q306">
        <v>1.1424303872132</v>
      </c>
      <c r="R306">
        <v>2.9288546029912401E-2</v>
      </c>
      <c r="S306" t="s">
        <v>2180</v>
      </c>
      <c r="T306" t="s">
        <v>3746</v>
      </c>
      <c r="U306" t="s">
        <v>3746</v>
      </c>
      <c r="V306" t="s">
        <v>3746</v>
      </c>
      <c r="W306" t="s">
        <v>4048</v>
      </c>
      <c r="X306">
        <v>3</v>
      </c>
      <c r="Y306" t="s">
        <v>5907</v>
      </c>
      <c r="Z306" t="s">
        <v>7694</v>
      </c>
      <c r="AA306">
        <v>1.1285659318512149</v>
      </c>
      <c r="AB306" t="str">
        <f>HYPERLINK("Melting_Curves/meltCurve_F5GY03_SPARC.pdf", "Melting_Curves/meltCurve_F5GY03_SPARC.pdf")</f>
        <v>Melting_Curves/meltCurve_F5GY03_SPARC.pdf</v>
      </c>
    </row>
    <row r="307" spans="1:28" x14ac:dyDescent="0.25">
      <c r="A307" t="s">
        <v>311</v>
      </c>
      <c r="B307">
        <v>1</v>
      </c>
      <c r="C307">
        <v>1.1111229946524099</v>
      </c>
      <c r="D307">
        <v>1.46545454545455</v>
      </c>
      <c r="E307">
        <v>1.9691443850267401</v>
      </c>
      <c r="F307">
        <v>1.42780748663102</v>
      </c>
      <c r="G307">
        <v>2.1870053475935798</v>
      </c>
      <c r="H307">
        <v>1.7442245989304801</v>
      </c>
      <c r="I307">
        <v>2.8587700534759399</v>
      </c>
      <c r="J307">
        <v>2.3813903743315499</v>
      </c>
      <c r="K307">
        <v>2.2009090909090898</v>
      </c>
      <c r="L307">
        <v>2696.7526781377101</v>
      </c>
      <c r="M307">
        <v>61.591602817430498</v>
      </c>
      <c r="O307">
        <v>43.738334653437597</v>
      </c>
      <c r="P307">
        <v>0.17602300742473301</v>
      </c>
      <c r="Q307">
        <v>1.5</v>
      </c>
      <c r="R307">
        <v>-0.22742649528589001</v>
      </c>
      <c r="S307" t="s">
        <v>2181</v>
      </c>
      <c r="T307" t="s">
        <v>3746</v>
      </c>
      <c r="U307" t="s">
        <v>3746</v>
      </c>
      <c r="V307" t="s">
        <v>3746</v>
      </c>
      <c r="W307" t="s">
        <v>4049</v>
      </c>
      <c r="X307">
        <v>2</v>
      </c>
      <c r="Y307" t="s">
        <v>5908</v>
      </c>
      <c r="Z307" t="s">
        <v>7695</v>
      </c>
      <c r="AA307">
        <v>1.436262871183499</v>
      </c>
      <c r="AB307" t="str">
        <f>HYPERLINK("Melting_Curves/meltCurve_F5GY07_STARD10.pdf", "Melting_Curves/meltCurve_F5GY07_STARD10.pdf")</f>
        <v>Melting_Curves/meltCurve_F5GY07_STARD10.pdf</v>
      </c>
    </row>
    <row r="308" spans="1:28" x14ac:dyDescent="0.25">
      <c r="A308" t="s">
        <v>312</v>
      </c>
      <c r="B308">
        <v>1</v>
      </c>
      <c r="C308">
        <v>1.17927089393058</v>
      </c>
      <c r="D308">
        <v>1.4979154547217399</v>
      </c>
      <c r="E308">
        <v>1.9787182470428499</v>
      </c>
      <c r="F308">
        <v>1.56752957145627</v>
      </c>
      <c r="G308">
        <v>2.63675586581346</v>
      </c>
      <c r="H308">
        <v>2.58982935815397</v>
      </c>
      <c r="I308">
        <v>3.2088423502036099</v>
      </c>
      <c r="J308">
        <v>3.3600445995734001</v>
      </c>
      <c r="K308">
        <v>3.0882295908473898</v>
      </c>
      <c r="L308">
        <v>4157.0414869196602</v>
      </c>
      <c r="M308">
        <v>96.318986349417401</v>
      </c>
      <c r="O308">
        <v>43.140512629952902</v>
      </c>
      <c r="P308">
        <v>0.27908509531368297</v>
      </c>
      <c r="Q308">
        <v>1.5</v>
      </c>
      <c r="R308">
        <v>-0.679157580695543</v>
      </c>
      <c r="S308" t="s">
        <v>2182</v>
      </c>
      <c r="T308" t="s">
        <v>3746</v>
      </c>
      <c r="U308" t="s">
        <v>3746</v>
      </c>
      <c r="V308" t="s">
        <v>3746</v>
      </c>
      <c r="W308" t="s">
        <v>4050</v>
      </c>
      <c r="X308">
        <v>6</v>
      </c>
      <c r="Y308" t="s">
        <v>5909</v>
      </c>
      <c r="Z308" t="s">
        <v>7696</v>
      </c>
      <c r="AA308">
        <v>1.447089619984558</v>
      </c>
      <c r="AB308" t="str">
        <f>HYPERLINK("Melting_Curves/meltCurve_F5GY99_GALNT1.pdf", "Melting_Curves/meltCurve_F5GY99_GALNT1.pdf")</f>
        <v>Melting_Curves/meltCurve_F5GY99_GALNT1.pdf</v>
      </c>
    </row>
    <row r="309" spans="1:28" x14ac:dyDescent="0.25">
      <c r="A309" t="s">
        <v>313</v>
      </c>
      <c r="B309">
        <v>1</v>
      </c>
      <c r="C309">
        <v>1.0233612085244099</v>
      </c>
      <c r="D309">
        <v>1.37434583220933</v>
      </c>
      <c r="E309">
        <v>1.88135958996493</v>
      </c>
      <c r="F309">
        <v>1.1626382519557601</v>
      </c>
      <c r="G309">
        <v>0.75130833558133303</v>
      </c>
      <c r="H309">
        <v>0.49411923388184498</v>
      </c>
      <c r="I309">
        <v>1.1094146209873199</v>
      </c>
      <c r="J309">
        <v>1.34041003506879</v>
      </c>
      <c r="K309">
        <v>1.25670353385487</v>
      </c>
      <c r="L309">
        <v>10804.176892252901</v>
      </c>
      <c r="M309">
        <v>250</v>
      </c>
      <c r="O309">
        <v>43.213941998046202</v>
      </c>
      <c r="P309">
        <v>0.247731711564041</v>
      </c>
      <c r="Q309">
        <v>1.1712874207866599</v>
      </c>
      <c r="R309">
        <v>3.2533736016990597E-2</v>
      </c>
      <c r="S309" t="s">
        <v>2183</v>
      </c>
      <c r="T309" t="s">
        <v>3746</v>
      </c>
      <c r="U309" t="s">
        <v>3746</v>
      </c>
      <c r="V309" t="s">
        <v>3746</v>
      </c>
      <c r="W309" t="s">
        <v>4051</v>
      </c>
      <c r="X309">
        <v>2</v>
      </c>
      <c r="Y309" t="s">
        <v>5910</v>
      </c>
      <c r="Z309" t="s">
        <v>7697</v>
      </c>
      <c r="AA309">
        <v>1.1529083781200651</v>
      </c>
      <c r="AB309" t="str">
        <f>HYPERLINK("Melting_Curves/meltCurve_F5GYC9_AIF1L.pdf", "Melting_Curves/meltCurve_F5GYC9_AIF1L.pdf")</f>
        <v>Melting_Curves/meltCurve_F5GYC9_AIF1L.pdf</v>
      </c>
    </row>
    <row r="310" spans="1:28" x14ac:dyDescent="0.25">
      <c r="A310" t="s">
        <v>314</v>
      </c>
      <c r="B310">
        <v>1</v>
      </c>
      <c r="C310">
        <v>0.95653377630121805</v>
      </c>
      <c r="D310">
        <v>1.2657345884090101</v>
      </c>
      <c r="E310">
        <v>1.8253045404208199</v>
      </c>
      <c r="F310">
        <v>1.3565430047988201</v>
      </c>
      <c r="G310">
        <v>1.5490956072351401</v>
      </c>
      <c r="H310">
        <v>1.1202934662237001</v>
      </c>
      <c r="I310">
        <v>1.7162698412698401</v>
      </c>
      <c r="J310">
        <v>1.9651624215577701</v>
      </c>
      <c r="K310">
        <v>1.7464931709117799</v>
      </c>
      <c r="L310">
        <v>11494.2020079545</v>
      </c>
      <c r="M310">
        <v>250</v>
      </c>
      <c r="O310">
        <v>45.973865835767498</v>
      </c>
      <c r="P310">
        <v>0.67973400710438003</v>
      </c>
      <c r="Q310">
        <v>1.5</v>
      </c>
      <c r="R310">
        <v>0.48920990137620202</v>
      </c>
      <c r="S310" t="s">
        <v>2184</v>
      </c>
      <c r="T310" t="s">
        <v>3746</v>
      </c>
      <c r="U310" t="s">
        <v>3746</v>
      </c>
      <c r="V310" t="s">
        <v>3746</v>
      </c>
      <c r="W310" t="s">
        <v>4052</v>
      </c>
      <c r="X310">
        <v>5</v>
      </c>
      <c r="Y310" t="s">
        <v>5911</v>
      </c>
      <c r="Z310" t="s">
        <v>7698</v>
      </c>
      <c r="AA310">
        <v>1.4003461885117641</v>
      </c>
      <c r="AB310" t="str">
        <f>HYPERLINK("Melting_Curves/meltCurve_F5GYN4_OTUB1.pdf", "Melting_Curves/meltCurve_F5GYN4_OTUB1.pdf")</f>
        <v>Melting_Curves/meltCurve_F5GYN4_OTUB1.pdf</v>
      </c>
    </row>
    <row r="311" spans="1:28" x14ac:dyDescent="0.25">
      <c r="A311" t="s">
        <v>315</v>
      </c>
      <c r="B311">
        <v>1</v>
      </c>
      <c r="C311">
        <v>1.0145884216779999</v>
      </c>
      <c r="D311">
        <v>1.20189451448941</v>
      </c>
      <c r="E311">
        <v>1.3319856096111999</v>
      </c>
      <c r="F311">
        <v>0.88195590468017704</v>
      </c>
      <c r="G311">
        <v>1.17195854511849</v>
      </c>
      <c r="H311">
        <v>0.725212885338966</v>
      </c>
      <c r="I311">
        <v>1.4375866393821399</v>
      </c>
      <c r="J311">
        <v>1.0724305234669</v>
      </c>
      <c r="K311">
        <v>0.97305102647039399</v>
      </c>
      <c r="L311">
        <v>10800.5674195338</v>
      </c>
      <c r="M311">
        <v>250</v>
      </c>
      <c r="O311">
        <v>43.199510206174899</v>
      </c>
      <c r="P311">
        <v>0.14396787157784199</v>
      </c>
      <c r="Q311">
        <v>1.0995094525595299</v>
      </c>
      <c r="R311">
        <v>3.4115362324340398E-2</v>
      </c>
      <c r="S311" t="s">
        <v>2185</v>
      </c>
      <c r="T311" t="s">
        <v>3746</v>
      </c>
      <c r="U311" t="s">
        <v>3746</v>
      </c>
      <c r="V311" t="s">
        <v>3746</v>
      </c>
      <c r="W311" t="s">
        <v>4053</v>
      </c>
      <c r="X311">
        <v>1</v>
      </c>
      <c r="Y311" t="s">
        <v>5912</v>
      </c>
      <c r="Z311" t="s">
        <v>7699</v>
      </c>
      <c r="AA311">
        <v>1.0888800377331089</v>
      </c>
      <c r="AB311" t="str">
        <f>HYPERLINK("Melting_Curves/meltCurve_F5GYQ6_SH3YL1.pdf", "Melting_Curves/meltCurve_F5GYQ6_SH3YL1.pdf")</f>
        <v>Melting_Curves/meltCurve_F5GYQ6_SH3YL1.pdf</v>
      </c>
    </row>
    <row r="312" spans="1:28" x14ac:dyDescent="0.25">
      <c r="A312" t="s">
        <v>316</v>
      </c>
      <c r="B312">
        <v>1</v>
      </c>
      <c r="C312">
        <v>1.0687090378714199</v>
      </c>
      <c r="D312">
        <v>1.4220409400295499</v>
      </c>
      <c r="E312">
        <v>1.73231130586319</v>
      </c>
      <c r="F312">
        <v>0.87221710085996795</v>
      </c>
      <c r="G312">
        <v>0.90419123868214002</v>
      </c>
      <c r="H312">
        <v>1.07214385836417</v>
      </c>
      <c r="I312">
        <v>0.91388955536753802</v>
      </c>
      <c r="J312">
        <v>0.88226900200785496</v>
      </c>
      <c r="K312">
        <v>0.88034954349720296</v>
      </c>
      <c r="L312">
        <v>15000</v>
      </c>
      <c r="M312">
        <v>235.34642607343801</v>
      </c>
      <c r="O312">
        <v>63.731231644837898</v>
      </c>
      <c r="P312">
        <v>-0.10957804933372101</v>
      </c>
      <c r="Q312">
        <v>0.881306144176356</v>
      </c>
      <c r="R312">
        <v>-2.7937357773747801E-2</v>
      </c>
      <c r="S312" t="s">
        <v>2186</v>
      </c>
      <c r="T312" t="s">
        <v>3746</v>
      </c>
      <c r="U312" t="s">
        <v>3746</v>
      </c>
      <c r="V312" t="s">
        <v>3746</v>
      </c>
      <c r="W312" t="s">
        <v>4054</v>
      </c>
      <c r="X312">
        <v>4</v>
      </c>
      <c r="Y312" t="s">
        <v>5913</v>
      </c>
      <c r="Z312" t="s">
        <v>7700</v>
      </c>
      <c r="AA312">
        <v>0.97523103535246658</v>
      </c>
      <c r="AB312" t="str">
        <f>HYPERLINK("Melting_Curves/meltCurve_F5GYU8_TMC5.pdf", "Melting_Curves/meltCurve_F5GYU8_TMC5.pdf")</f>
        <v>Melting_Curves/meltCurve_F5GYU8_TMC5.pdf</v>
      </c>
    </row>
    <row r="313" spans="1:28" x14ac:dyDescent="0.25">
      <c r="A313" t="s">
        <v>317</v>
      </c>
      <c r="B313">
        <v>1</v>
      </c>
      <c r="C313">
        <v>0.97560286692793796</v>
      </c>
      <c r="D313">
        <v>1.2801609998940799</v>
      </c>
      <c r="E313">
        <v>1.6261342371923899</v>
      </c>
      <c r="F313">
        <v>1.6192493733008499</v>
      </c>
      <c r="G313">
        <v>1.67687038802387</v>
      </c>
      <c r="H313">
        <v>1.0995657239699199</v>
      </c>
      <c r="I313">
        <v>1.52501500547258</v>
      </c>
      <c r="J313">
        <v>1.4647459661758999</v>
      </c>
      <c r="K313">
        <v>1.5310171945062301</v>
      </c>
      <c r="L313">
        <v>11488.8464275076</v>
      </c>
      <c r="M313">
        <v>250</v>
      </c>
      <c r="O313">
        <v>45.952445199359303</v>
      </c>
      <c r="P313">
        <v>0.68005086834668105</v>
      </c>
      <c r="Q313">
        <v>1.5</v>
      </c>
      <c r="R313">
        <v>0.65542451611370001</v>
      </c>
      <c r="S313" t="s">
        <v>2187</v>
      </c>
      <c r="T313" t="s">
        <v>3746</v>
      </c>
      <c r="U313" t="s">
        <v>3746</v>
      </c>
      <c r="V313" t="s">
        <v>3746</v>
      </c>
      <c r="W313" t="s">
        <v>4055</v>
      </c>
      <c r="X313">
        <v>1</v>
      </c>
      <c r="Y313" t="s">
        <v>5914</v>
      </c>
      <c r="Z313" t="s">
        <v>7701</v>
      </c>
      <c r="AA313">
        <v>1.400703246006145</v>
      </c>
      <c r="AB313" t="str">
        <f>HYPERLINK("Melting_Curves/meltCurve_F5GZ54_MCEE.pdf", "Melting_Curves/meltCurve_F5GZ54_MCEE.pdf")</f>
        <v>Melting_Curves/meltCurve_F5GZ54_MCEE.pdf</v>
      </c>
    </row>
    <row r="314" spans="1:28" x14ac:dyDescent="0.25">
      <c r="A314" t="s">
        <v>318</v>
      </c>
      <c r="B314">
        <v>1</v>
      </c>
      <c r="C314">
        <v>1.0162803318086699</v>
      </c>
      <c r="D314">
        <v>1.1998216916040001</v>
      </c>
      <c r="E314">
        <v>1.57477323823552</v>
      </c>
      <c r="F314">
        <v>0.49992247461043499</v>
      </c>
      <c r="G314">
        <v>0.799790681448174</v>
      </c>
      <c r="H314">
        <v>0.66047755639972106</v>
      </c>
      <c r="I314">
        <v>0.94437553298705301</v>
      </c>
      <c r="J314">
        <v>0.92914179393751495</v>
      </c>
      <c r="K314">
        <v>0.90681448174277102</v>
      </c>
      <c r="S314" t="s">
        <v>2188</v>
      </c>
      <c r="T314" t="s">
        <v>3746</v>
      </c>
      <c r="U314" t="s">
        <v>3747</v>
      </c>
      <c r="V314" t="s">
        <v>3746</v>
      </c>
      <c r="W314" t="s">
        <v>4056</v>
      </c>
      <c r="X314">
        <v>5</v>
      </c>
      <c r="Y314" t="s">
        <v>5915</v>
      </c>
      <c r="Z314" t="s">
        <v>7702</v>
      </c>
      <c r="AB314" t="str">
        <f>HYPERLINK("Melting_Curves/meltCurve_F5GZD9_PTHLH.pdf", "Melting_Curves/meltCurve_F5GZD9_PTHLH.pdf")</f>
        <v>Melting_Curves/meltCurve_F5GZD9_PTHLH.pdf</v>
      </c>
    </row>
    <row r="315" spans="1:28" x14ac:dyDescent="0.25">
      <c r="A315" t="s">
        <v>319</v>
      </c>
      <c r="B315">
        <v>1</v>
      </c>
      <c r="C315">
        <v>0.93627822397332905</v>
      </c>
      <c r="D315">
        <v>1.3434990150022701</v>
      </c>
      <c r="E315">
        <v>1.5903545991816901</v>
      </c>
      <c r="F315">
        <v>1.1106607061675999</v>
      </c>
      <c r="G315">
        <v>1.2869752992877701</v>
      </c>
      <c r="H315">
        <v>0.69180936505531099</v>
      </c>
      <c r="I315">
        <v>1.0865661463858201</v>
      </c>
      <c r="J315">
        <v>1.06372177602667</v>
      </c>
      <c r="K315">
        <v>0.97094256705561399</v>
      </c>
      <c r="L315">
        <v>15000</v>
      </c>
      <c r="M315">
        <v>210.77655816559599</v>
      </c>
      <c r="Q315">
        <v>0</v>
      </c>
      <c r="R315">
        <v>-0.20867879607495399</v>
      </c>
      <c r="S315" t="s">
        <v>2189</v>
      </c>
      <c r="T315" t="s">
        <v>3746</v>
      </c>
      <c r="U315" t="s">
        <v>3746</v>
      </c>
      <c r="V315" t="s">
        <v>3746</v>
      </c>
      <c r="W315" t="s">
        <v>4057</v>
      </c>
      <c r="X315">
        <v>11</v>
      </c>
      <c r="Y315" t="s">
        <v>5916</v>
      </c>
      <c r="Z315" t="s">
        <v>7703</v>
      </c>
      <c r="AA315">
        <v>0.99968193736626765</v>
      </c>
      <c r="AB315" t="str">
        <f>HYPERLINK("Melting_Curves/meltCurve_F5GZS6_SLC3A2.pdf", "Melting_Curves/meltCurve_F5GZS6_SLC3A2.pdf")</f>
        <v>Melting_Curves/meltCurve_F5GZS6_SLC3A2.pdf</v>
      </c>
    </row>
    <row r="316" spans="1:28" x14ac:dyDescent="0.25">
      <c r="A316" t="s">
        <v>320</v>
      </c>
      <c r="B316">
        <v>1</v>
      </c>
      <c r="C316">
        <v>1.2131070313341199</v>
      </c>
      <c r="D316">
        <v>1.6062775923333701</v>
      </c>
      <c r="E316">
        <v>1.54194034672122</v>
      </c>
      <c r="F316">
        <v>1.28041886508022</v>
      </c>
      <c r="G316">
        <v>1.2302546570474899</v>
      </c>
      <c r="H316">
        <v>0.61097501884354499</v>
      </c>
      <c r="I316">
        <v>1.28531818671261</v>
      </c>
      <c r="J316">
        <v>1.10844459997846</v>
      </c>
      <c r="K316">
        <v>0.92601216754603199</v>
      </c>
      <c r="L316">
        <v>15000</v>
      </c>
      <c r="M316">
        <v>211.75860188726799</v>
      </c>
      <c r="Q316">
        <v>0</v>
      </c>
      <c r="R316">
        <v>-0.41858354126075498</v>
      </c>
      <c r="S316" t="s">
        <v>2190</v>
      </c>
      <c r="T316" t="s">
        <v>3746</v>
      </c>
      <c r="U316" t="s">
        <v>3746</v>
      </c>
      <c r="V316" t="s">
        <v>3746</v>
      </c>
      <c r="W316" t="s">
        <v>4058</v>
      </c>
      <c r="X316">
        <v>1</v>
      </c>
      <c r="Y316" t="s">
        <v>5917</v>
      </c>
      <c r="Z316" t="s">
        <v>7704</v>
      </c>
      <c r="AA316">
        <v>0.99917094715980359</v>
      </c>
      <c r="AB316" t="str">
        <f>HYPERLINK("Melting_Curves/meltCurve_F5GZT4_HNRNPH1.pdf", "Melting_Curves/meltCurve_F5GZT4_HNRNPH1.pdf")</f>
        <v>Melting_Curves/meltCurve_F5GZT4_HNRNPH1.pdf</v>
      </c>
    </row>
    <row r="317" spans="1:28" x14ac:dyDescent="0.25">
      <c r="A317" t="s">
        <v>321</v>
      </c>
      <c r="B317">
        <v>1</v>
      </c>
      <c r="C317">
        <v>1.1676580671033301</v>
      </c>
      <c r="D317">
        <v>1.9506082074589</v>
      </c>
      <c r="E317">
        <v>2.5943055741211101</v>
      </c>
      <c r="F317">
        <v>1.55634273492849</v>
      </c>
      <c r="G317">
        <v>2.2410105600855501</v>
      </c>
      <c r="H317">
        <v>1.4113754845608899</v>
      </c>
      <c r="I317">
        <v>2.2149779441251201</v>
      </c>
      <c r="J317">
        <v>2.0083210800695102</v>
      </c>
      <c r="K317">
        <v>1.88644566234461</v>
      </c>
      <c r="L317">
        <v>10754.3537339461</v>
      </c>
      <c r="M317">
        <v>250</v>
      </c>
      <c r="O317">
        <v>43.0146625046455</v>
      </c>
      <c r="P317">
        <v>0.72649646669724299</v>
      </c>
      <c r="Q317">
        <v>1.5</v>
      </c>
      <c r="R317">
        <v>-0.240496855142809</v>
      </c>
      <c r="S317" t="s">
        <v>2191</v>
      </c>
      <c r="T317" t="s">
        <v>3746</v>
      </c>
      <c r="U317" t="s">
        <v>3746</v>
      </c>
      <c r="V317" t="s">
        <v>3746</v>
      </c>
      <c r="W317" t="s">
        <v>4059</v>
      </c>
      <c r="X317">
        <v>1</v>
      </c>
      <c r="Y317" t="s">
        <v>5918</v>
      </c>
      <c r="Z317" t="s">
        <v>7705</v>
      </c>
      <c r="AA317">
        <v>1.4496720036075219</v>
      </c>
      <c r="AB317" t="str">
        <f>HYPERLINK("Melting_Curves/meltCurve_F5GZY7_GABARAPL1.pdf", "Melting_Curves/meltCurve_F5GZY7_GABARAPL1.pdf")</f>
        <v>Melting_Curves/meltCurve_F5GZY7_GABARAPL1.pdf</v>
      </c>
    </row>
    <row r="318" spans="1:28" x14ac:dyDescent="0.25">
      <c r="A318" t="s">
        <v>322</v>
      </c>
      <c r="B318">
        <v>1</v>
      </c>
      <c r="C318">
        <v>0.98352081272736402</v>
      </c>
      <c r="D318">
        <v>1.16578095924628</v>
      </c>
      <c r="E318">
        <v>1.37558465071835</v>
      </c>
      <c r="F318">
        <v>0.89933110928567805</v>
      </c>
      <c r="G318">
        <v>1.0049454325996201</v>
      </c>
      <c r="H318">
        <v>0.69972003822232698</v>
      </c>
      <c r="I318">
        <v>0.93894486261755905</v>
      </c>
      <c r="J318">
        <v>1.00330254312585</v>
      </c>
      <c r="K318">
        <v>0.89668236911367805</v>
      </c>
      <c r="L318">
        <v>14489.6364516675</v>
      </c>
      <c r="M318">
        <v>247.675092791949</v>
      </c>
      <c r="O318">
        <v>58.498792238748898</v>
      </c>
      <c r="P318">
        <v>-0.122077759168309</v>
      </c>
      <c r="Q318">
        <v>0.88466502041831896</v>
      </c>
      <c r="R318">
        <v>0.18734549293352801</v>
      </c>
      <c r="S318" t="s">
        <v>2192</v>
      </c>
      <c r="T318" t="s">
        <v>3746</v>
      </c>
      <c r="U318" t="s">
        <v>3746</v>
      </c>
      <c r="V318" t="s">
        <v>3746</v>
      </c>
      <c r="W318" t="s">
        <v>4060</v>
      </c>
      <c r="X318">
        <v>6</v>
      </c>
      <c r="Y318" t="s">
        <v>5919</v>
      </c>
      <c r="Z318" t="s">
        <v>7706</v>
      </c>
      <c r="AA318">
        <v>0.95581031180171516</v>
      </c>
      <c r="AB318" t="str">
        <f>HYPERLINK("Melting_Curves/meltCurve_F5H0B0_TPD52.pdf", "Melting_Curves/meltCurve_F5H0B0_TPD52.pdf")</f>
        <v>Melting_Curves/meltCurve_F5H0B0_TPD52.pdf</v>
      </c>
    </row>
    <row r="319" spans="1:28" x14ac:dyDescent="0.25">
      <c r="A319" t="s">
        <v>323</v>
      </c>
      <c r="B319">
        <v>1</v>
      </c>
      <c r="C319">
        <v>1.00007767794723</v>
      </c>
      <c r="D319">
        <v>1.1812226508894099</v>
      </c>
      <c r="E319">
        <v>1.2925610419202</v>
      </c>
      <c r="F319">
        <v>0.97524662748245805</v>
      </c>
      <c r="G319">
        <v>1.28927267548743</v>
      </c>
      <c r="H319">
        <v>0.593666658035784</v>
      </c>
      <c r="I319">
        <v>0.96038424691230195</v>
      </c>
      <c r="J319">
        <v>1.04041842520908</v>
      </c>
      <c r="K319">
        <v>0.93262732710183605</v>
      </c>
      <c r="L319">
        <v>2764.7118479282299</v>
      </c>
      <c r="M319">
        <v>46.882619920580701</v>
      </c>
      <c r="O319">
        <v>58.863939175442397</v>
      </c>
      <c r="P319">
        <v>-1.92791147945695E-2</v>
      </c>
      <c r="Q319">
        <v>0.90317577003928295</v>
      </c>
      <c r="R319">
        <v>7.38342606789891E-2</v>
      </c>
      <c r="S319" t="s">
        <v>2193</v>
      </c>
      <c r="T319" t="s">
        <v>3746</v>
      </c>
      <c r="U319" t="s">
        <v>3746</v>
      </c>
      <c r="V319" t="s">
        <v>3746</v>
      </c>
      <c r="W319" t="s">
        <v>4061</v>
      </c>
      <c r="X319">
        <v>1</v>
      </c>
      <c r="Y319" t="s">
        <v>5920</v>
      </c>
      <c r="Z319" t="s">
        <v>7707</v>
      </c>
      <c r="AA319">
        <v>0.96468692611967832</v>
      </c>
      <c r="AB319" t="str">
        <f>HYPERLINK("Melting_Curves/meltCurve_F5H0U9_MYO3A.pdf", "Melting_Curves/meltCurve_F5H0U9_MYO3A.pdf")</f>
        <v>Melting_Curves/meltCurve_F5H0U9_MYO3A.pdf</v>
      </c>
    </row>
    <row r="320" spans="1:28" x14ac:dyDescent="0.25">
      <c r="A320" t="s">
        <v>324</v>
      </c>
      <c r="B320">
        <v>1</v>
      </c>
      <c r="C320">
        <v>0.91179104477611905</v>
      </c>
      <c r="D320">
        <v>1.17626865671642</v>
      </c>
      <c r="E320">
        <v>1.22485074626866</v>
      </c>
      <c r="F320">
        <v>0.96694029850746299</v>
      </c>
      <c r="G320">
        <v>1.20537313432836</v>
      </c>
      <c r="H320">
        <v>0.50094029850746302</v>
      </c>
      <c r="I320">
        <v>1.05037313432836</v>
      </c>
      <c r="J320">
        <v>1.0755223880597</v>
      </c>
      <c r="K320">
        <v>0.94141791044776102</v>
      </c>
      <c r="L320">
        <v>2035.6475625409901</v>
      </c>
      <c r="M320">
        <v>35.002852234744303</v>
      </c>
      <c r="O320">
        <v>57.967778438670599</v>
      </c>
      <c r="P320">
        <v>-1.17049772261102E-2</v>
      </c>
      <c r="Q320">
        <v>0.92246241811253105</v>
      </c>
      <c r="R320">
        <v>5.5108916520785103E-2</v>
      </c>
      <c r="S320" t="s">
        <v>2194</v>
      </c>
      <c r="T320" t="s">
        <v>3746</v>
      </c>
      <c r="U320" t="s">
        <v>3746</v>
      </c>
      <c r="V320" t="s">
        <v>3746</v>
      </c>
      <c r="W320" t="s">
        <v>4062</v>
      </c>
      <c r="X320">
        <v>3</v>
      </c>
      <c r="Y320" t="s">
        <v>5921</v>
      </c>
      <c r="Z320" t="s">
        <v>7708</v>
      </c>
      <c r="AA320">
        <v>0.96978011706915623</v>
      </c>
      <c r="AB320" t="str">
        <f>HYPERLINK("Melting_Curves/meltCurve_F5H0X8_PDLIM5.pdf", "Melting_Curves/meltCurve_F5H0X8_PDLIM5.pdf")</f>
        <v>Melting_Curves/meltCurve_F5H0X8_PDLIM5.pdf</v>
      </c>
    </row>
    <row r="321" spans="1:28" x14ac:dyDescent="0.25">
      <c r="A321" t="s">
        <v>325</v>
      </c>
      <c r="B321">
        <v>1</v>
      </c>
      <c r="C321">
        <v>1.01573974082073</v>
      </c>
      <c r="D321">
        <v>1.2010259179265701</v>
      </c>
      <c r="E321">
        <v>1.60172786177106</v>
      </c>
      <c r="F321">
        <v>0.96606371490280796</v>
      </c>
      <c r="G321">
        <v>1.17740280777538</v>
      </c>
      <c r="H321">
        <v>0.60488660907127401</v>
      </c>
      <c r="I321">
        <v>1.1067224622030201</v>
      </c>
      <c r="J321">
        <v>1.1811285097192199</v>
      </c>
      <c r="K321">
        <v>0.95696544276457896</v>
      </c>
      <c r="L321">
        <v>10796.7134898483</v>
      </c>
      <c r="M321">
        <v>250</v>
      </c>
      <c r="O321">
        <v>43.184090332929799</v>
      </c>
      <c r="P321">
        <v>0.143991704940135</v>
      </c>
      <c r="Q321">
        <v>1.0994904124712499</v>
      </c>
      <c r="R321">
        <v>2.3711970021736601E-2</v>
      </c>
      <c r="S321" t="s">
        <v>2195</v>
      </c>
      <c r="T321" t="s">
        <v>3746</v>
      </c>
      <c r="U321" t="s">
        <v>3746</v>
      </c>
      <c r="V321" t="s">
        <v>3746</v>
      </c>
      <c r="W321" t="s">
        <v>4063</v>
      </c>
      <c r="X321">
        <v>1</v>
      </c>
      <c r="Y321" t="s">
        <v>5922</v>
      </c>
      <c r="Z321" t="s">
        <v>7709</v>
      </c>
      <c r="AA321">
        <v>1.088914158037102</v>
      </c>
      <c r="AB321" t="str">
        <f>HYPERLINK("Melting_Curves/meltCurve_F5H157_RAB35.pdf", "Melting_Curves/meltCurve_F5H157_RAB35.pdf")</f>
        <v>Melting_Curves/meltCurve_F5H157_RAB35.pdf</v>
      </c>
    </row>
    <row r="322" spans="1:28" x14ac:dyDescent="0.25">
      <c r="A322" t="s">
        <v>326</v>
      </c>
      <c r="B322">
        <v>1</v>
      </c>
      <c r="C322">
        <v>1.0770084439083201</v>
      </c>
      <c r="D322">
        <v>1.2123039806996401</v>
      </c>
      <c r="E322">
        <v>1.8282267792521101</v>
      </c>
      <c r="F322">
        <v>1.3890229191797301</v>
      </c>
      <c r="G322">
        <v>1.5925211097708101</v>
      </c>
      <c r="H322">
        <v>1.14400482509047</v>
      </c>
      <c r="I322">
        <v>2.0427020506634501</v>
      </c>
      <c r="J322">
        <v>1.99059107358263</v>
      </c>
      <c r="K322">
        <v>1.7729794933655001</v>
      </c>
      <c r="S322" t="s">
        <v>2196</v>
      </c>
      <c r="T322" t="s">
        <v>3746</v>
      </c>
      <c r="U322" t="s">
        <v>3747</v>
      </c>
      <c r="V322" t="s">
        <v>3746</v>
      </c>
      <c r="W322" t="s">
        <v>4064</v>
      </c>
      <c r="X322">
        <v>1</v>
      </c>
      <c r="Y322" t="s">
        <v>5923</v>
      </c>
      <c r="Z322" t="s">
        <v>7710</v>
      </c>
      <c r="AB322" t="str">
        <f>HYPERLINK("Melting_Curves/meltCurve_F5H163_MVK.pdf", "Melting_Curves/meltCurve_F5H163_MVK.pdf")</f>
        <v>Melting_Curves/meltCurve_F5H163_MVK.pdf</v>
      </c>
    </row>
    <row r="323" spans="1:28" x14ac:dyDescent="0.25">
      <c r="A323" t="s">
        <v>327</v>
      </c>
      <c r="B323">
        <v>1</v>
      </c>
      <c r="C323">
        <v>0.84793281031910295</v>
      </c>
      <c r="D323">
        <v>1.3332049862829101</v>
      </c>
      <c r="E323">
        <v>2.1203734899167399</v>
      </c>
      <c r="F323">
        <v>1.1281826057659901</v>
      </c>
      <c r="G323">
        <v>1.5086393608316899</v>
      </c>
      <c r="H323">
        <v>0.91760119362756898</v>
      </c>
      <c r="I323">
        <v>1.52560523655966</v>
      </c>
      <c r="J323">
        <v>1.18958463685806</v>
      </c>
      <c r="K323">
        <v>1.1189536506714199</v>
      </c>
      <c r="L323">
        <v>11381.260640316101</v>
      </c>
      <c r="M323">
        <v>250</v>
      </c>
      <c r="O323">
        <v>45.522117145838003</v>
      </c>
      <c r="P323">
        <v>0.49209596067560601</v>
      </c>
      <c r="Q323">
        <v>1.35842009486427</v>
      </c>
      <c r="R323">
        <v>0.224978782203513</v>
      </c>
      <c r="S323" t="s">
        <v>2197</v>
      </c>
      <c r="T323" t="s">
        <v>3746</v>
      </c>
      <c r="U323" t="s">
        <v>3746</v>
      </c>
      <c r="V323" t="s">
        <v>3746</v>
      </c>
      <c r="W323" t="s">
        <v>4065</v>
      </c>
      <c r="X323">
        <v>1</v>
      </c>
      <c r="Y323" t="s">
        <v>5924</v>
      </c>
      <c r="Z323" t="s">
        <v>7711</v>
      </c>
      <c r="AA323">
        <v>1.2923819159938921</v>
      </c>
      <c r="AB323" t="str">
        <f>HYPERLINK("Melting_Curves/meltCurve_F5H169_PSMD9.pdf", "Melting_Curves/meltCurve_F5H169_PSMD9.pdf")</f>
        <v>Melting_Curves/meltCurve_F5H169_PSMD9.pdf</v>
      </c>
    </row>
    <row r="324" spans="1:28" x14ac:dyDescent="0.25">
      <c r="A324" t="s">
        <v>328</v>
      </c>
      <c r="B324">
        <v>1</v>
      </c>
      <c r="C324">
        <v>1.0150894816815801</v>
      </c>
      <c r="D324">
        <v>1.3026760087793301</v>
      </c>
      <c r="E324">
        <v>1.74018656086443</v>
      </c>
      <c r="F324">
        <v>1.3324328887388199</v>
      </c>
      <c r="G324">
        <v>1.7034019922336701</v>
      </c>
      <c r="H324">
        <v>1.11556643592774</v>
      </c>
      <c r="I324">
        <v>1.81122319770387</v>
      </c>
      <c r="J324">
        <v>1.85587962181327</v>
      </c>
      <c r="K324">
        <v>1.53729106871518</v>
      </c>
      <c r="L324">
        <v>11330.5138773279</v>
      </c>
      <c r="M324">
        <v>246.74333478869099</v>
      </c>
      <c r="O324">
        <v>45.917226834806897</v>
      </c>
      <c r="P324">
        <v>0.67170688190000005</v>
      </c>
      <c r="Q324">
        <v>1.5</v>
      </c>
      <c r="R324">
        <v>0.49465390623448902</v>
      </c>
      <c r="S324" t="s">
        <v>2198</v>
      </c>
      <c r="T324" t="s">
        <v>3746</v>
      </c>
      <c r="U324" t="s">
        <v>3746</v>
      </c>
      <c r="V324" t="s">
        <v>3746</v>
      </c>
      <c r="W324" t="s">
        <v>4066</v>
      </c>
      <c r="X324">
        <v>1</v>
      </c>
      <c r="Y324" t="s">
        <v>5925</v>
      </c>
      <c r="Z324" t="s">
        <v>7712</v>
      </c>
      <c r="AA324">
        <v>1.4012879187488381</v>
      </c>
      <c r="AB324" t="str">
        <f>HYPERLINK("Melting_Curves/meltCurve_F5H1S8_MLEC.pdf", "Melting_Curves/meltCurve_F5H1S8_MLEC.pdf")</f>
        <v>Melting_Curves/meltCurve_F5H1S8_MLEC.pdf</v>
      </c>
    </row>
    <row r="325" spans="1:28" x14ac:dyDescent="0.25">
      <c r="A325" t="s">
        <v>329</v>
      </c>
      <c r="B325">
        <v>1</v>
      </c>
      <c r="C325">
        <v>1.2329081000743101</v>
      </c>
      <c r="D325">
        <v>1.3561431756254601</v>
      </c>
      <c r="E325">
        <v>1.48408471637354</v>
      </c>
      <c r="F325">
        <v>0.98259846420609398</v>
      </c>
      <c r="G325">
        <v>1.2574931880108999</v>
      </c>
      <c r="H325">
        <v>0.76027991082487001</v>
      </c>
      <c r="I325">
        <v>1.39274213524895</v>
      </c>
      <c r="J325">
        <v>1.1371067624473601</v>
      </c>
      <c r="K325">
        <v>1.17977458508794</v>
      </c>
      <c r="L325">
        <v>10255.139441698801</v>
      </c>
      <c r="M325">
        <v>250</v>
      </c>
      <c r="O325">
        <v>41.017927718188503</v>
      </c>
      <c r="P325">
        <v>0.30188918688155397</v>
      </c>
      <c r="Q325">
        <v>1.1981259255318299</v>
      </c>
      <c r="R325">
        <v>8.2754596084035598E-2</v>
      </c>
      <c r="S325" t="s">
        <v>2199</v>
      </c>
      <c r="T325" t="s">
        <v>3746</v>
      </c>
      <c r="U325" t="s">
        <v>3746</v>
      </c>
      <c r="V325" t="s">
        <v>3746</v>
      </c>
      <c r="W325" t="s">
        <v>4067</v>
      </c>
      <c r="X325">
        <v>1</v>
      </c>
      <c r="Y325" t="s">
        <v>5926</v>
      </c>
      <c r="Z325" t="s">
        <v>7713</v>
      </c>
      <c r="AA325">
        <v>1.1913699629839021</v>
      </c>
      <c r="AB325" t="str">
        <f>HYPERLINK("Melting_Curves/meltCurve_F5H1T5_CLIP1.pdf", "Melting_Curves/meltCurve_F5H1T5_CLIP1.pdf")</f>
        <v>Melting_Curves/meltCurve_F5H1T5_CLIP1.pdf</v>
      </c>
    </row>
    <row r="326" spans="1:28" x14ac:dyDescent="0.25">
      <c r="A326" t="s">
        <v>330</v>
      </c>
      <c r="B326">
        <v>1</v>
      </c>
      <c r="C326">
        <v>0.96013142605281099</v>
      </c>
      <c r="D326">
        <v>1.39203429899427</v>
      </c>
      <c r="E326">
        <v>1.6943542893777299</v>
      </c>
      <c r="F326">
        <v>1.42172536763233</v>
      </c>
      <c r="G326">
        <v>1.68429699082422</v>
      </c>
      <c r="H326">
        <v>1.3744841126738001</v>
      </c>
      <c r="I326">
        <v>2.1531834755779902</v>
      </c>
      <c r="J326">
        <v>2.4886404615939401</v>
      </c>
      <c r="K326">
        <v>2.34543414673238</v>
      </c>
      <c r="L326">
        <v>11440.6813633777</v>
      </c>
      <c r="M326">
        <v>250</v>
      </c>
      <c r="O326">
        <v>45.759796948287502</v>
      </c>
      <c r="P326">
        <v>0.68291387035251605</v>
      </c>
      <c r="Q326">
        <v>1.5</v>
      </c>
      <c r="R326">
        <v>0.12704576796075301</v>
      </c>
      <c r="S326" t="s">
        <v>2200</v>
      </c>
      <c r="T326" t="s">
        <v>3746</v>
      </c>
      <c r="U326" t="s">
        <v>3746</v>
      </c>
      <c r="V326" t="s">
        <v>3746</v>
      </c>
      <c r="W326" t="s">
        <v>4068</v>
      </c>
      <c r="X326">
        <v>4</v>
      </c>
      <c r="Y326" t="s">
        <v>5927</v>
      </c>
      <c r="Z326" t="s">
        <v>7714</v>
      </c>
      <c r="AA326">
        <v>1.4039144193393429</v>
      </c>
      <c r="AB326" t="str">
        <f>HYPERLINK("Melting_Curves/meltCurve_F5H241_GBA.pdf", "Melting_Curves/meltCurve_F5H241_GBA.pdf")</f>
        <v>Melting_Curves/meltCurve_F5H241_GBA.pdf</v>
      </c>
    </row>
    <row r="327" spans="1:28" x14ac:dyDescent="0.25">
      <c r="A327" t="s">
        <v>331</v>
      </c>
      <c r="B327">
        <v>1</v>
      </c>
      <c r="C327">
        <v>1.50026141512722</v>
      </c>
      <c r="D327">
        <v>2.52143604043221</v>
      </c>
      <c r="E327">
        <v>2.5529801324503301</v>
      </c>
      <c r="F327">
        <v>2.2405890554200099</v>
      </c>
      <c r="G327">
        <v>2.6107528755664</v>
      </c>
      <c r="H327">
        <v>1.69353433252004</v>
      </c>
      <c r="I327">
        <v>2.4146915301498799</v>
      </c>
      <c r="J327">
        <v>2.2423318229348199</v>
      </c>
      <c r="K327">
        <v>2.1567619379574801</v>
      </c>
      <c r="L327">
        <v>10331.368916700399</v>
      </c>
      <c r="M327">
        <v>250</v>
      </c>
      <c r="O327">
        <v>41.322831158941902</v>
      </c>
      <c r="P327">
        <v>0.75624053814441705</v>
      </c>
      <c r="Q327">
        <v>1.5</v>
      </c>
      <c r="R327">
        <v>-1.29759195114388</v>
      </c>
      <c r="S327" t="s">
        <v>2201</v>
      </c>
      <c r="T327" t="s">
        <v>3746</v>
      </c>
      <c r="U327" t="s">
        <v>3746</v>
      </c>
      <c r="V327" t="s">
        <v>3746</v>
      </c>
      <c r="W327" t="s">
        <v>4069</v>
      </c>
      <c r="X327">
        <v>1</v>
      </c>
      <c r="Y327" t="s">
        <v>5928</v>
      </c>
      <c r="Z327" t="s">
        <v>7715</v>
      </c>
      <c r="AA327">
        <v>1.4778718295173301</v>
      </c>
      <c r="AB327" t="str">
        <f>HYPERLINK("Melting_Curves/meltCurve_F5H2A7_VBP1.pdf", "Melting_Curves/meltCurve_F5H2A7_VBP1.pdf")</f>
        <v>Melting_Curves/meltCurve_F5H2A7_VBP1.pdf</v>
      </c>
    </row>
    <row r="328" spans="1:28" x14ac:dyDescent="0.25">
      <c r="A328" t="s">
        <v>332</v>
      </c>
      <c r="B328">
        <v>1</v>
      </c>
      <c r="C328">
        <v>1.0411895250776699</v>
      </c>
      <c r="D328">
        <v>1.20168664003551</v>
      </c>
      <c r="E328">
        <v>1.61580115401687</v>
      </c>
      <c r="F328">
        <v>1.13049267643142</v>
      </c>
      <c r="G328">
        <v>1.4237017310253</v>
      </c>
      <c r="H328">
        <v>1.0738570794496201</v>
      </c>
      <c r="I328">
        <v>2.1192188193519801</v>
      </c>
      <c r="J328">
        <v>2.4717265867731899</v>
      </c>
      <c r="K328">
        <v>2.4583222370173101</v>
      </c>
      <c r="L328">
        <v>11518.005745353399</v>
      </c>
      <c r="M328">
        <v>250</v>
      </c>
      <c r="O328">
        <v>46.069084050877599</v>
      </c>
      <c r="P328">
        <v>0.67832923138116297</v>
      </c>
      <c r="Q328">
        <v>1.5</v>
      </c>
      <c r="R328">
        <v>0.167216094689043</v>
      </c>
      <c r="S328" t="s">
        <v>2202</v>
      </c>
      <c r="T328" t="s">
        <v>3746</v>
      </c>
      <c r="U328" t="s">
        <v>3746</v>
      </c>
      <c r="V328" t="s">
        <v>3746</v>
      </c>
      <c r="W328" t="s">
        <v>4070</v>
      </c>
      <c r="X328">
        <v>4</v>
      </c>
      <c r="Y328" t="s">
        <v>5929</v>
      </c>
      <c r="Z328" t="s">
        <v>7716</v>
      </c>
      <c r="AA328">
        <v>1.3987591891348841</v>
      </c>
      <c r="AB328" t="str">
        <f>HYPERLINK("Melting_Curves/meltCurve_F5H2F4_MTHFD1.pdf", "Melting_Curves/meltCurve_F5H2F4_MTHFD1.pdf")</f>
        <v>Melting_Curves/meltCurve_F5H2F4_MTHFD1.pdf</v>
      </c>
    </row>
    <row r="329" spans="1:28" x14ac:dyDescent="0.25">
      <c r="A329" t="s">
        <v>333</v>
      </c>
      <c r="B329">
        <v>1</v>
      </c>
      <c r="C329">
        <v>1.2127521986549401</v>
      </c>
      <c r="D329">
        <v>1.7602172788411801</v>
      </c>
      <c r="E329">
        <v>2.3819192964304201</v>
      </c>
      <c r="F329">
        <v>1.65636316606311</v>
      </c>
      <c r="G329">
        <v>1.9021814105880299</v>
      </c>
      <c r="H329">
        <v>1.13053974823245</v>
      </c>
      <c r="I329">
        <v>1.81669253319538</v>
      </c>
      <c r="J329">
        <v>1.72611657182273</v>
      </c>
      <c r="K329">
        <v>1.55643214347301</v>
      </c>
      <c r="L329">
        <v>10737.8792939504</v>
      </c>
      <c r="M329">
        <v>250</v>
      </c>
      <c r="O329">
        <v>42.948768523528599</v>
      </c>
      <c r="P329">
        <v>0.72761108366488703</v>
      </c>
      <c r="Q329">
        <v>1.5</v>
      </c>
      <c r="R329">
        <v>0.13237227265978899</v>
      </c>
      <c r="S329" t="s">
        <v>2203</v>
      </c>
      <c r="T329" t="s">
        <v>3746</v>
      </c>
      <c r="U329" t="s">
        <v>3746</v>
      </c>
      <c r="V329" t="s">
        <v>3746</v>
      </c>
      <c r="W329" t="s">
        <v>4071</v>
      </c>
      <c r="X329">
        <v>10</v>
      </c>
      <c r="Y329" t="s">
        <v>5930</v>
      </c>
      <c r="Z329" t="s">
        <v>7717</v>
      </c>
      <c r="AA329">
        <v>1.4507703574238771</v>
      </c>
      <c r="AB329" t="str">
        <f>HYPERLINK("Melting_Curves/meltCurve_F5H2S7_DCTN2.pdf", "Melting_Curves/meltCurve_F5H2S7_DCTN2.pdf")</f>
        <v>Melting_Curves/meltCurve_F5H2S7_DCTN2.pdf</v>
      </c>
    </row>
    <row r="330" spans="1:28" x14ac:dyDescent="0.25">
      <c r="A330" t="s">
        <v>334</v>
      </c>
      <c r="B330">
        <v>1</v>
      </c>
      <c r="C330">
        <v>1.0584213117444301</v>
      </c>
      <c r="D330">
        <v>1.7189978666374901</v>
      </c>
      <c r="E330">
        <v>1.69569498386303</v>
      </c>
      <c r="F330">
        <v>1.3132213773863599</v>
      </c>
      <c r="G330">
        <v>1.7143482304031501</v>
      </c>
      <c r="H330">
        <v>1.4038072315518799</v>
      </c>
      <c r="I330">
        <v>2.1447951424976801</v>
      </c>
      <c r="J330">
        <v>2.1294239921229701</v>
      </c>
      <c r="K330">
        <v>2.3199496745254602</v>
      </c>
      <c r="L330">
        <v>10811.772259065099</v>
      </c>
      <c r="M330">
        <v>250</v>
      </c>
      <c r="O330">
        <v>43.244321123146101</v>
      </c>
      <c r="P330">
        <v>0.72263823193031396</v>
      </c>
      <c r="Q330">
        <v>1.5</v>
      </c>
      <c r="R330">
        <v>0.11716906560127199</v>
      </c>
      <c r="S330" t="s">
        <v>2204</v>
      </c>
      <c r="T330" t="s">
        <v>3746</v>
      </c>
      <c r="U330" t="s">
        <v>3746</v>
      </c>
      <c r="V330" t="s">
        <v>3746</v>
      </c>
      <c r="W330" t="s">
        <v>4072</v>
      </c>
      <c r="X330">
        <v>2</v>
      </c>
      <c r="Y330" t="s">
        <v>5931</v>
      </c>
      <c r="Z330" t="s">
        <v>7718</v>
      </c>
      <c r="AA330">
        <v>1.4458439004078081</v>
      </c>
      <c r="AB330" t="str">
        <f>HYPERLINK("Melting_Curves/meltCurve_F5H335_EIF3A.pdf", "Melting_Curves/meltCurve_F5H335_EIF3A.pdf")</f>
        <v>Melting_Curves/meltCurve_F5H335_EIF3A.pdf</v>
      </c>
    </row>
    <row r="331" spans="1:28" x14ac:dyDescent="0.25">
      <c r="A331" t="s">
        <v>335</v>
      </c>
      <c r="B331">
        <v>1</v>
      </c>
      <c r="C331">
        <v>1.0181951847086901</v>
      </c>
      <c r="D331">
        <v>1.3395515530233399</v>
      </c>
      <c r="E331">
        <v>1.6210255467744901</v>
      </c>
      <c r="F331">
        <v>0.73066531887520703</v>
      </c>
      <c r="G331">
        <v>1.2158610549531299</v>
      </c>
      <c r="H331">
        <v>0.54263922073148296</v>
      </c>
      <c r="I331">
        <v>1.1704649880536699</v>
      </c>
      <c r="J331">
        <v>0.87003308215401598</v>
      </c>
      <c r="K331">
        <v>0.98152913067450798</v>
      </c>
      <c r="L331">
        <v>2219.2537458255001</v>
      </c>
      <c r="M331">
        <v>38.017507084050202</v>
      </c>
      <c r="O331">
        <v>58.213713050526501</v>
      </c>
      <c r="P331">
        <v>-1.3625012128388901E-2</v>
      </c>
      <c r="Q331">
        <v>0.91654787161814599</v>
      </c>
      <c r="R331">
        <v>2.0335132894859801E-3</v>
      </c>
      <c r="S331" t="s">
        <v>2205</v>
      </c>
      <c r="T331" t="s">
        <v>3746</v>
      </c>
      <c r="U331" t="s">
        <v>3746</v>
      </c>
      <c r="V331" t="s">
        <v>3746</v>
      </c>
      <c r="W331" t="s">
        <v>4073</v>
      </c>
      <c r="X331">
        <v>1</v>
      </c>
      <c r="Y331" t="s">
        <v>5932</v>
      </c>
      <c r="Z331" t="s">
        <v>7719</v>
      </c>
      <c r="AA331">
        <v>0.96802230473426609</v>
      </c>
      <c r="AB331" t="str">
        <f>HYPERLINK("Melting_Curves/meltCurve_F5H3A0_ARL6IP4.pdf", "Melting_Curves/meltCurve_F5H3A0_ARL6IP4.pdf")</f>
        <v>Melting_Curves/meltCurve_F5H3A0_ARL6IP4.pdf</v>
      </c>
    </row>
    <row r="332" spans="1:28" x14ac:dyDescent="0.25">
      <c r="A332" t="s">
        <v>336</v>
      </c>
      <c r="B332">
        <v>1</v>
      </c>
      <c r="C332">
        <v>0.87258074750935999</v>
      </c>
      <c r="D332">
        <v>1.2641982359286801</v>
      </c>
      <c r="E332">
        <v>1.98848277174948</v>
      </c>
      <c r="F332">
        <v>1.26502316136811</v>
      </c>
      <c r="G332">
        <v>1.53946950948664</v>
      </c>
      <c r="H332">
        <v>1.1570213846056201</v>
      </c>
      <c r="I332">
        <v>1.56453455168475</v>
      </c>
      <c r="J332">
        <v>1.6826575290310299</v>
      </c>
      <c r="K332">
        <v>1.5049495526365899</v>
      </c>
      <c r="L332">
        <v>11494.769422752101</v>
      </c>
      <c r="M332">
        <v>250</v>
      </c>
      <c r="O332">
        <v>45.976137871143401</v>
      </c>
      <c r="P332">
        <v>0.67970045345151497</v>
      </c>
      <c r="Q332">
        <v>1.5</v>
      </c>
      <c r="R332">
        <v>0.54009774817648504</v>
      </c>
      <c r="S332" t="s">
        <v>2206</v>
      </c>
      <c r="T332" t="s">
        <v>3746</v>
      </c>
      <c r="U332" t="s">
        <v>3746</v>
      </c>
      <c r="V332" t="s">
        <v>3746</v>
      </c>
      <c r="W332" t="s">
        <v>4074</v>
      </c>
      <c r="X332">
        <v>3</v>
      </c>
      <c r="Y332" t="s">
        <v>5933</v>
      </c>
      <c r="Z332" t="s">
        <v>7720</v>
      </c>
      <c r="AA332">
        <v>1.400308358866982</v>
      </c>
      <c r="AB332" t="str">
        <f>HYPERLINK("Melting_Curves/meltCurve_F5H3P3_ARHGDIB.pdf", "Melting_Curves/meltCurve_F5H3P3_ARHGDIB.pdf")</f>
        <v>Melting_Curves/meltCurve_F5H3P3_ARHGDIB.pdf</v>
      </c>
    </row>
    <row r="333" spans="1:28" x14ac:dyDescent="0.25">
      <c r="A333" t="s">
        <v>337</v>
      </c>
      <c r="B333">
        <v>1</v>
      </c>
      <c r="C333">
        <v>1.1793157687770399</v>
      </c>
      <c r="D333">
        <v>1.7668108533228499</v>
      </c>
      <c r="E333">
        <v>2.9189933149823002</v>
      </c>
      <c r="F333">
        <v>2.2668108533228501</v>
      </c>
      <c r="G333">
        <v>2.53322847031066</v>
      </c>
      <c r="H333">
        <v>2.3561410407654999</v>
      </c>
      <c r="I333">
        <v>3.4128981517892298</v>
      </c>
      <c r="J333">
        <v>3.5071437934198499</v>
      </c>
      <c r="K333">
        <v>3.4150609516319301</v>
      </c>
      <c r="L333">
        <v>10749.938115481</v>
      </c>
      <c r="M333">
        <v>250</v>
      </c>
      <c r="O333">
        <v>42.996981802971</v>
      </c>
      <c r="P333">
        <v>0.72679487841154</v>
      </c>
      <c r="Q333">
        <v>1.5</v>
      </c>
      <c r="R333">
        <v>-1.13117400566103</v>
      </c>
      <c r="S333" t="s">
        <v>2207</v>
      </c>
      <c r="T333" t="s">
        <v>3746</v>
      </c>
      <c r="U333" t="s">
        <v>3746</v>
      </c>
      <c r="V333" t="s">
        <v>3746</v>
      </c>
      <c r="W333" t="s">
        <v>4075</v>
      </c>
      <c r="X333">
        <v>8</v>
      </c>
      <c r="Y333" t="s">
        <v>5934</v>
      </c>
      <c r="Z333" t="s">
        <v>7721</v>
      </c>
      <c r="AA333">
        <v>1.4499663936686851</v>
      </c>
      <c r="AB333" t="str">
        <f>HYPERLINK("Melting_Curves/meltCurve_F5H3X9_PPP2R1A.pdf", "Melting_Curves/meltCurve_F5H3X9_PPP2R1A.pdf")</f>
        <v>Melting_Curves/meltCurve_F5H3X9_PPP2R1A.pdf</v>
      </c>
    </row>
    <row r="334" spans="1:28" x14ac:dyDescent="0.25">
      <c r="A334" t="s">
        <v>338</v>
      </c>
      <c r="B334">
        <v>1</v>
      </c>
      <c r="C334">
        <v>0.83389436166526398</v>
      </c>
      <c r="D334">
        <v>1.11373199346567</v>
      </c>
      <c r="E334">
        <v>1.3034998267412501</v>
      </c>
      <c r="F334">
        <v>0.99004999752487499</v>
      </c>
      <c r="G334">
        <v>1.43673580515816</v>
      </c>
      <c r="H334">
        <v>1.11816246720459</v>
      </c>
      <c r="I334">
        <v>1.71753873570615</v>
      </c>
      <c r="J334">
        <v>1.7063264194841801</v>
      </c>
      <c r="K334">
        <v>1.5820998960447501</v>
      </c>
      <c r="L334">
        <v>929.28244728790901</v>
      </c>
      <c r="M334">
        <v>17.0184594680494</v>
      </c>
      <c r="O334">
        <v>53.867160889079798</v>
      </c>
      <c r="P334">
        <v>3.9494161337302901E-2</v>
      </c>
      <c r="Q334">
        <v>1.5</v>
      </c>
      <c r="R334">
        <v>0.60683493257752097</v>
      </c>
      <c r="S334" t="s">
        <v>2208</v>
      </c>
      <c r="T334" t="s">
        <v>3746</v>
      </c>
      <c r="U334" t="s">
        <v>3746</v>
      </c>
      <c r="V334" t="s">
        <v>3746</v>
      </c>
      <c r="W334" t="s">
        <v>4076</v>
      </c>
      <c r="X334">
        <v>1</v>
      </c>
      <c r="Y334" t="s">
        <v>5935</v>
      </c>
      <c r="Z334" t="s">
        <v>7722</v>
      </c>
      <c r="AA334">
        <v>1.248118091216365</v>
      </c>
      <c r="AB334" t="str">
        <f>HYPERLINK("Melting_Curves/meltCurve_F5H442_TSG101.pdf", "Melting_Curves/meltCurve_F5H442_TSG101.pdf")</f>
        <v>Melting_Curves/meltCurve_F5H442_TSG101.pdf</v>
      </c>
    </row>
    <row r="335" spans="1:28" x14ac:dyDescent="0.25">
      <c r="A335" t="s">
        <v>339</v>
      </c>
      <c r="B335">
        <v>1</v>
      </c>
      <c r="C335">
        <v>0.947265595647796</v>
      </c>
      <c r="D335">
        <v>1.43690356321666</v>
      </c>
      <c r="E335">
        <v>1.5993147082250001</v>
      </c>
      <c r="F335">
        <v>1.36529357839527</v>
      </c>
      <c r="G335">
        <v>1.57181286725478</v>
      </c>
      <c r="H335">
        <v>1.1301904089208199</v>
      </c>
      <c r="I335">
        <v>1.76688056987421</v>
      </c>
      <c r="J335">
        <v>1.6053260395846201</v>
      </c>
      <c r="K335">
        <v>1.6090831216843799</v>
      </c>
      <c r="L335">
        <v>11410.987831459201</v>
      </c>
      <c r="M335">
        <v>250</v>
      </c>
      <c r="O335">
        <v>45.6410297197299</v>
      </c>
      <c r="P335">
        <v>0.68469094040791101</v>
      </c>
      <c r="Q335">
        <v>1.5</v>
      </c>
      <c r="R335">
        <v>0.63432576303015098</v>
      </c>
      <c r="S335" t="s">
        <v>2209</v>
      </c>
      <c r="T335" t="s">
        <v>3746</v>
      </c>
      <c r="U335" t="s">
        <v>3746</v>
      </c>
      <c r="V335" t="s">
        <v>3746</v>
      </c>
      <c r="W335" t="s">
        <v>4077</v>
      </c>
      <c r="X335">
        <v>1</v>
      </c>
      <c r="Y335" t="s">
        <v>5936</v>
      </c>
      <c r="Z335" t="s">
        <v>7723</v>
      </c>
      <c r="AA335">
        <v>1.4058940923572869</v>
      </c>
      <c r="AB335" t="str">
        <f>HYPERLINK("Melting_Curves/meltCurve_F5H4L7_VPS26A.pdf", "Melting_Curves/meltCurve_F5H4L7_VPS26A.pdf")</f>
        <v>Melting_Curves/meltCurve_F5H4L7_VPS26A.pdf</v>
      </c>
    </row>
    <row r="336" spans="1:28" x14ac:dyDescent="0.25">
      <c r="A336" t="s">
        <v>340</v>
      </c>
      <c r="B336">
        <v>1</v>
      </c>
      <c r="C336">
        <v>1.00965250965251</v>
      </c>
      <c r="D336">
        <v>1.3581589107904899</v>
      </c>
      <c r="E336">
        <v>1.3264580369843499</v>
      </c>
      <c r="F336">
        <v>1.7390164600690901</v>
      </c>
      <c r="G336">
        <v>1.37073765494818</v>
      </c>
      <c r="H336">
        <v>0.63361105466368595</v>
      </c>
      <c r="I336">
        <v>1.24005283478968</v>
      </c>
      <c r="J336">
        <v>1.0921763869132299</v>
      </c>
      <c r="K336">
        <v>1.02714895346474</v>
      </c>
      <c r="L336">
        <v>1.0000000000000001E-5</v>
      </c>
      <c r="M336">
        <v>1.0000000000000001E-5</v>
      </c>
      <c r="Q336">
        <v>1.35940079622343</v>
      </c>
      <c r="R336">
        <v>-1.7321120093782801E-9</v>
      </c>
      <c r="S336" t="s">
        <v>2210</v>
      </c>
      <c r="T336" t="s">
        <v>3746</v>
      </c>
      <c r="U336" t="s">
        <v>3746</v>
      </c>
      <c r="V336" t="s">
        <v>3746</v>
      </c>
      <c r="W336" t="s">
        <v>4078</v>
      </c>
      <c r="X336">
        <v>1</v>
      </c>
      <c r="Y336" t="s">
        <v>5937</v>
      </c>
      <c r="Z336" t="s">
        <v>7724</v>
      </c>
      <c r="AA336">
        <v>1.179701279853175</v>
      </c>
      <c r="AB336" t="str">
        <f>HYPERLINK("Melting_Curves/meltCurve_F5H555_CASC1.pdf", "Melting_Curves/meltCurve_F5H555_CASC1.pdf")</f>
        <v>Melting_Curves/meltCurve_F5H555_CASC1.pdf</v>
      </c>
    </row>
    <row r="337" spans="1:28" x14ac:dyDescent="0.25">
      <c r="A337" t="s">
        <v>341</v>
      </c>
      <c r="B337">
        <v>1</v>
      </c>
      <c r="C337">
        <v>0.91898879632289598</v>
      </c>
      <c r="D337">
        <v>1.1185004309106601</v>
      </c>
      <c r="E337">
        <v>1.3531312841137599</v>
      </c>
      <c r="F337">
        <v>0.66696351623096795</v>
      </c>
      <c r="G337">
        <v>0.79452743464521702</v>
      </c>
      <c r="H337">
        <v>0.530594656707843</v>
      </c>
      <c r="I337">
        <v>0.79984199942545198</v>
      </c>
      <c r="J337">
        <v>0.74195633438667097</v>
      </c>
      <c r="K337">
        <v>0.66149813272048297</v>
      </c>
      <c r="L337">
        <v>12926.8275684522</v>
      </c>
      <c r="M337">
        <v>250</v>
      </c>
      <c r="O337">
        <v>51.704001341689299</v>
      </c>
      <c r="P337">
        <v>-0.36367870599319202</v>
      </c>
      <c r="Q337">
        <v>0.69914169146872895</v>
      </c>
      <c r="R337">
        <v>0.63463384535570799</v>
      </c>
      <c r="S337" t="s">
        <v>2211</v>
      </c>
      <c r="T337" t="s">
        <v>3746</v>
      </c>
      <c r="U337" t="s">
        <v>3746</v>
      </c>
      <c r="V337" t="s">
        <v>3746</v>
      </c>
      <c r="W337" t="s">
        <v>4079</v>
      </c>
      <c r="X337">
        <v>1</v>
      </c>
      <c r="Y337" t="s">
        <v>5938</v>
      </c>
      <c r="Z337" t="s">
        <v>7725</v>
      </c>
      <c r="AA337">
        <v>0.8165770452281198</v>
      </c>
      <c r="AB337" t="str">
        <f>HYPERLINK("Melting_Curves/meltCurve_F5H5E8_SCARB1.pdf", "Melting_Curves/meltCurve_F5H5E8_SCARB1.pdf")</f>
        <v>Melting_Curves/meltCurve_F5H5E8_SCARB1.pdf</v>
      </c>
    </row>
    <row r="338" spans="1:28" x14ac:dyDescent="0.25">
      <c r="A338" t="s">
        <v>342</v>
      </c>
      <c r="B338">
        <v>1</v>
      </c>
      <c r="C338">
        <v>1.1140447378071101</v>
      </c>
      <c r="D338">
        <v>1.2070040337367101</v>
      </c>
      <c r="E338">
        <v>1.37898789878988</v>
      </c>
      <c r="F338">
        <v>0.87763109644297799</v>
      </c>
      <c r="G338">
        <v>1.14536120278695</v>
      </c>
      <c r="H338">
        <v>0.63711037770443701</v>
      </c>
      <c r="I338">
        <v>1.0793912724605801</v>
      </c>
      <c r="J338">
        <v>0.84858819215254899</v>
      </c>
      <c r="K338">
        <v>0.859332599926659</v>
      </c>
      <c r="L338">
        <v>5791.2941652044001</v>
      </c>
      <c r="M338">
        <v>98.438856703467195</v>
      </c>
      <c r="O338">
        <v>58.807127162108699</v>
      </c>
      <c r="P338">
        <v>-5.9325927679385701E-2</v>
      </c>
      <c r="Q338">
        <v>0.85823539156545803</v>
      </c>
      <c r="R338">
        <v>0.18615497050954699</v>
      </c>
      <c r="S338" t="s">
        <v>2212</v>
      </c>
      <c r="T338" t="s">
        <v>3746</v>
      </c>
      <c r="U338" t="s">
        <v>3746</v>
      </c>
      <c r="V338" t="s">
        <v>3746</v>
      </c>
      <c r="W338" t="s">
        <v>4080</v>
      </c>
      <c r="X338">
        <v>1</v>
      </c>
      <c r="Y338" t="s">
        <v>5939</v>
      </c>
      <c r="Z338" t="s">
        <v>7726</v>
      </c>
      <c r="AA338">
        <v>0.94731736916475162</v>
      </c>
      <c r="AB338" t="str">
        <f>HYPERLINK("Melting_Curves/meltCurve_F5H5Q2_ACVR1B.pdf", "Melting_Curves/meltCurve_F5H5Q2_ACVR1B.pdf")</f>
        <v>Melting_Curves/meltCurve_F5H5Q2_ACVR1B.pdf</v>
      </c>
    </row>
    <row r="339" spans="1:28" x14ac:dyDescent="0.25">
      <c r="A339" t="s">
        <v>343</v>
      </c>
      <c r="B339">
        <v>1</v>
      </c>
      <c r="C339">
        <v>0.98593116084282195</v>
      </c>
      <c r="D339">
        <v>1.0436461196178499</v>
      </c>
      <c r="E339">
        <v>1.0965187802643599</v>
      </c>
      <c r="F339">
        <v>0.87416568511974901</v>
      </c>
      <c r="G339">
        <v>0.84413034943070298</v>
      </c>
      <c r="H339">
        <v>0.47974087161366302</v>
      </c>
      <c r="I339">
        <v>0.81128124591022099</v>
      </c>
      <c r="J339">
        <v>0.76999083889543296</v>
      </c>
      <c r="K339">
        <v>0.69676743881690895</v>
      </c>
      <c r="L339">
        <v>1920.01716615597</v>
      </c>
      <c r="M339">
        <v>34.913701285303397</v>
      </c>
      <c r="O339">
        <v>54.813751568576897</v>
      </c>
      <c r="P339">
        <v>-4.7747265699225203E-2</v>
      </c>
      <c r="Q339">
        <v>0.70015239610250901</v>
      </c>
      <c r="R339">
        <v>0.69938368951514496</v>
      </c>
      <c r="S339" t="s">
        <v>2213</v>
      </c>
      <c r="T339" t="s">
        <v>3746</v>
      </c>
      <c r="U339" t="s">
        <v>3746</v>
      </c>
      <c r="V339" t="s">
        <v>3746</v>
      </c>
      <c r="W339" t="s">
        <v>4081</v>
      </c>
      <c r="X339">
        <v>2</v>
      </c>
      <c r="Y339" t="s">
        <v>5940</v>
      </c>
      <c r="Z339" t="s">
        <v>7727</v>
      </c>
      <c r="AA339">
        <v>0.85149376607787841</v>
      </c>
      <c r="AB339" t="str">
        <f>HYPERLINK("Melting_Curves/meltCurve_F5H5S4_CES4A.pdf", "Melting_Curves/meltCurve_F5H5S4_CES4A.pdf")</f>
        <v>Melting_Curves/meltCurve_F5H5S4_CES4A.pdf</v>
      </c>
    </row>
    <row r="340" spans="1:28" x14ac:dyDescent="0.25">
      <c r="A340" t="s">
        <v>344</v>
      </c>
      <c r="B340">
        <v>1</v>
      </c>
      <c r="C340">
        <v>0.985148328244563</v>
      </c>
      <c r="D340">
        <v>1.1937879301895999</v>
      </c>
      <c r="E340">
        <v>1.52105243318632</v>
      </c>
      <c r="F340">
        <v>1.1001922424516599</v>
      </c>
      <c r="G340">
        <v>1.1472351012099999</v>
      </c>
      <c r="H340">
        <v>0.69463605865279499</v>
      </c>
      <c r="I340">
        <v>1.15311545855479</v>
      </c>
      <c r="J340">
        <v>1.0107429605337599</v>
      </c>
      <c r="K340">
        <v>0.96483093972633704</v>
      </c>
      <c r="L340">
        <v>12746.1791143889</v>
      </c>
      <c r="M340">
        <v>178.77637368307401</v>
      </c>
      <c r="Q340">
        <v>0</v>
      </c>
      <c r="R340">
        <v>-0.14555504459808799</v>
      </c>
      <c r="S340" t="s">
        <v>2214</v>
      </c>
      <c r="T340" t="s">
        <v>3746</v>
      </c>
      <c r="U340" t="s">
        <v>3746</v>
      </c>
      <c r="V340" t="s">
        <v>3746</v>
      </c>
      <c r="W340" t="s">
        <v>4082</v>
      </c>
      <c r="X340">
        <v>1</v>
      </c>
      <c r="Y340" t="s">
        <v>5941</v>
      </c>
      <c r="Z340" t="s">
        <v>7728</v>
      </c>
      <c r="AA340">
        <v>0.99954627010013852</v>
      </c>
      <c r="AB340" t="str">
        <f>HYPERLINK("Melting_Curves/meltCurve_F5H5Y2_SSR1.pdf", "Melting_Curves/meltCurve_F5H5Y2_SSR1.pdf")</f>
        <v>Melting_Curves/meltCurve_F5H5Y2_SSR1.pdf</v>
      </c>
    </row>
    <row r="341" spans="1:28" x14ac:dyDescent="0.25">
      <c r="A341" t="s">
        <v>345</v>
      </c>
      <c r="B341">
        <v>1</v>
      </c>
      <c r="C341">
        <v>0.84693930173791998</v>
      </c>
      <c r="D341">
        <v>1.11458924243206</v>
      </c>
      <c r="E341">
        <v>1.1249548759733901</v>
      </c>
      <c r="F341">
        <v>0.68191429013459803</v>
      </c>
      <c r="G341">
        <v>0.62498066113145301</v>
      </c>
      <c r="H341">
        <v>0.44495384456706699</v>
      </c>
      <c r="I341">
        <v>0.63813109174359195</v>
      </c>
      <c r="J341">
        <v>0.641741013872415</v>
      </c>
      <c r="K341">
        <v>0.668815429838585</v>
      </c>
      <c r="L341">
        <v>13175.6324843231</v>
      </c>
      <c r="M341">
        <v>250</v>
      </c>
      <c r="O341">
        <v>52.6991574804604</v>
      </c>
      <c r="P341">
        <v>-0.469974000550129</v>
      </c>
      <c r="Q341">
        <v>0.60372425976644495</v>
      </c>
      <c r="R341">
        <v>0.82402978413980998</v>
      </c>
      <c r="S341" t="s">
        <v>2215</v>
      </c>
      <c r="T341" t="s">
        <v>3746</v>
      </c>
      <c r="U341" t="s">
        <v>3746</v>
      </c>
      <c r="V341" t="s">
        <v>3746</v>
      </c>
      <c r="W341" t="s">
        <v>4083</v>
      </c>
      <c r="X341">
        <v>2</v>
      </c>
      <c r="Y341" t="s">
        <v>5942</v>
      </c>
      <c r="Z341" t="s">
        <v>7729</v>
      </c>
      <c r="AA341">
        <v>0.77155106060767387</v>
      </c>
      <c r="AB341" t="str">
        <f>HYPERLINK("Melting_Curves/meltCurve_F5H6E2_MYO1C.pdf", "Melting_Curves/meltCurve_F5H6E2_MYO1C.pdf")</f>
        <v>Melting_Curves/meltCurve_F5H6E2_MYO1C.pdf</v>
      </c>
    </row>
    <row r="342" spans="1:28" x14ac:dyDescent="0.25">
      <c r="A342" t="s">
        <v>346</v>
      </c>
      <c r="B342">
        <v>1</v>
      </c>
      <c r="C342">
        <v>1.1638280616382799</v>
      </c>
      <c r="D342">
        <v>1.52660178426602</v>
      </c>
      <c r="E342">
        <v>2.1510948905109499</v>
      </c>
      <c r="F342">
        <v>1.01776155717762</v>
      </c>
      <c r="G342">
        <v>1.08718572587186</v>
      </c>
      <c r="H342">
        <v>0.38340632603406299</v>
      </c>
      <c r="I342">
        <v>1.20575831305758</v>
      </c>
      <c r="J342">
        <v>1.25774533657745</v>
      </c>
      <c r="K342">
        <v>1.2911597729116</v>
      </c>
      <c r="L342">
        <v>15000</v>
      </c>
      <c r="M342">
        <v>235.46972492285701</v>
      </c>
      <c r="O342">
        <v>63.697865686543999</v>
      </c>
      <c r="P342">
        <v>0.25366648498570499</v>
      </c>
      <c r="Q342">
        <v>1.2744813615717301</v>
      </c>
      <c r="R342">
        <v>-0.13598970496839399</v>
      </c>
      <c r="S342" t="s">
        <v>2216</v>
      </c>
      <c r="T342" t="s">
        <v>3746</v>
      </c>
      <c r="U342" t="s">
        <v>3746</v>
      </c>
      <c r="V342" t="s">
        <v>3746</v>
      </c>
      <c r="W342" t="s">
        <v>4084</v>
      </c>
      <c r="X342">
        <v>5</v>
      </c>
      <c r="Y342" t="s">
        <v>5943</v>
      </c>
      <c r="Z342" t="s">
        <v>7730</v>
      </c>
      <c r="AA342">
        <v>1.05758401584366</v>
      </c>
      <c r="AB342" t="str">
        <f>HYPERLINK("Melting_Curves/meltCurve_F5H6I0_B2M.pdf", "Melting_Curves/meltCurve_F5H6I0_B2M.pdf")</f>
        <v>Melting_Curves/meltCurve_F5H6I0_B2M.pdf</v>
      </c>
    </row>
    <row r="343" spans="1:28" x14ac:dyDescent="0.25">
      <c r="A343" t="s">
        <v>347</v>
      </c>
      <c r="B343">
        <v>1</v>
      </c>
      <c r="C343">
        <v>0.78524131340023196</v>
      </c>
      <c r="D343">
        <v>1.0584340228001901</v>
      </c>
      <c r="E343">
        <v>1.3564748446993</v>
      </c>
      <c r="F343">
        <v>0.947846269369923</v>
      </c>
      <c r="G343">
        <v>0.83992081370742</v>
      </c>
      <c r="H343">
        <v>0.62739436138985605</v>
      </c>
      <c r="I343">
        <v>0.86080961157758196</v>
      </c>
      <c r="J343">
        <v>0.67174551163901997</v>
      </c>
      <c r="K343">
        <v>0.72906000409584304</v>
      </c>
      <c r="L343">
        <v>14232.455508540799</v>
      </c>
      <c r="M343">
        <v>250</v>
      </c>
      <c r="O343">
        <v>56.926178916987901</v>
      </c>
      <c r="P343">
        <v>-0.304942770673092</v>
      </c>
      <c r="Q343">
        <v>0.72225237282856902</v>
      </c>
      <c r="R343">
        <v>0.497545849188469</v>
      </c>
      <c r="S343" t="s">
        <v>2217</v>
      </c>
      <c r="T343" t="s">
        <v>3746</v>
      </c>
      <c r="U343" t="s">
        <v>3746</v>
      </c>
      <c r="V343" t="s">
        <v>3746</v>
      </c>
      <c r="W343" t="s">
        <v>4085</v>
      </c>
      <c r="X343">
        <v>1</v>
      </c>
      <c r="Y343" t="s">
        <v>5944</v>
      </c>
      <c r="Z343" t="s">
        <v>7731</v>
      </c>
      <c r="AA343">
        <v>0.87902071947243188</v>
      </c>
      <c r="AB343" t="str">
        <f>HYPERLINK("Melting_Curves/meltCurve_F5H6V7_TNFRSF1A.pdf", "Melting_Curves/meltCurve_F5H6V7_TNFRSF1A.pdf")</f>
        <v>Melting_Curves/meltCurve_F5H6V7_TNFRSF1A.pdf</v>
      </c>
    </row>
    <row r="344" spans="1:28" x14ac:dyDescent="0.25">
      <c r="A344" t="s">
        <v>348</v>
      </c>
      <c r="B344">
        <v>1</v>
      </c>
      <c r="C344">
        <v>1.03090826774396</v>
      </c>
      <c r="D344">
        <v>1.19769102180121</v>
      </c>
      <c r="E344">
        <v>1.41956885143136</v>
      </c>
      <c r="F344">
        <v>0.93546701957233402</v>
      </c>
      <c r="G344">
        <v>1.079612732465</v>
      </c>
      <c r="H344">
        <v>0.71407675698265705</v>
      </c>
      <c r="I344">
        <v>1.1509542383506299</v>
      </c>
      <c r="J344">
        <v>0.98107195096468602</v>
      </c>
      <c r="K344">
        <v>0.896008915511597</v>
      </c>
      <c r="L344">
        <v>15000</v>
      </c>
      <c r="M344">
        <v>222.37706922586599</v>
      </c>
      <c r="O344">
        <v>67.4475434231409</v>
      </c>
      <c r="P344">
        <v>-8.5742038255070499E-2</v>
      </c>
      <c r="Q344">
        <v>0.89597686870614301</v>
      </c>
      <c r="R344">
        <v>-1.6140259458230902E-2</v>
      </c>
      <c r="S344" t="s">
        <v>2218</v>
      </c>
      <c r="T344" t="s">
        <v>3746</v>
      </c>
      <c r="U344" t="s">
        <v>3746</v>
      </c>
      <c r="V344" t="s">
        <v>3746</v>
      </c>
      <c r="W344" t="s">
        <v>4086</v>
      </c>
      <c r="X344">
        <v>2</v>
      </c>
      <c r="Y344" t="s">
        <v>5945</v>
      </c>
      <c r="Z344" t="s">
        <v>7732</v>
      </c>
      <c r="AA344">
        <v>0.99118364340432863</v>
      </c>
      <c r="AB344" t="str">
        <f>HYPERLINK("Melting_Curves/meltCurve_F5H7G2_RGMA.pdf", "Melting_Curves/meltCurve_F5H7G2_RGMA.pdf")</f>
        <v>Melting_Curves/meltCurve_F5H7G2_RGMA.pdf</v>
      </c>
    </row>
    <row r="345" spans="1:28" x14ac:dyDescent="0.25">
      <c r="A345" t="s">
        <v>349</v>
      </c>
      <c r="B345">
        <v>1</v>
      </c>
      <c r="C345">
        <v>0.91467369274422405</v>
      </c>
      <c r="D345">
        <v>1.5066207269287899</v>
      </c>
      <c r="E345">
        <v>1.61761924064316</v>
      </c>
      <c r="F345">
        <v>1.04526415349277</v>
      </c>
      <c r="G345">
        <v>1.20436427509796</v>
      </c>
      <c r="H345">
        <v>0.69105526280232399</v>
      </c>
      <c r="I345">
        <v>1.20807998919065</v>
      </c>
      <c r="J345">
        <v>1.1945683015808699</v>
      </c>
      <c r="K345">
        <v>1.0759356843669801</v>
      </c>
      <c r="L345">
        <v>11071.552405513599</v>
      </c>
      <c r="M345">
        <v>250</v>
      </c>
      <c r="O345">
        <v>44.283387210288303</v>
      </c>
      <c r="P345">
        <v>0.27229996115467198</v>
      </c>
      <c r="Q345">
        <v>1.19293378326465</v>
      </c>
      <c r="R345">
        <v>0.129223082802706</v>
      </c>
      <c r="S345" t="s">
        <v>2219</v>
      </c>
      <c r="T345" t="s">
        <v>3746</v>
      </c>
      <c r="U345" t="s">
        <v>3746</v>
      </c>
      <c r="V345" t="s">
        <v>3746</v>
      </c>
      <c r="W345" t="s">
        <v>4087</v>
      </c>
      <c r="X345">
        <v>20</v>
      </c>
      <c r="Y345" t="s">
        <v>5946</v>
      </c>
      <c r="Z345" t="s">
        <v>7733</v>
      </c>
      <c r="AA345">
        <v>1.165353633532374</v>
      </c>
      <c r="AB345" t="str">
        <f>HYPERLINK("Melting_Curves/meltCurve_F5H7N9_MFGE8.pdf", "Melting_Curves/meltCurve_F5H7N9_MFGE8.pdf")</f>
        <v>Melting_Curves/meltCurve_F5H7N9_MFGE8.pdf</v>
      </c>
    </row>
    <row r="346" spans="1:28" x14ac:dyDescent="0.25">
      <c r="A346" t="s">
        <v>350</v>
      </c>
      <c r="B346">
        <v>1</v>
      </c>
      <c r="C346">
        <v>0.94868373710721998</v>
      </c>
      <c r="D346">
        <v>1.2325347805229101</v>
      </c>
      <c r="E346">
        <v>1.49172463420485</v>
      </c>
      <c r="F346">
        <v>1.1061405612856801</v>
      </c>
      <c r="G346">
        <v>1.1381026625090001</v>
      </c>
      <c r="H346">
        <v>0.75830534900455704</v>
      </c>
      <c r="I346">
        <v>1.0981350443751501</v>
      </c>
      <c r="J346">
        <v>1.1341748620772401</v>
      </c>
      <c r="K346">
        <v>0.97857699688174604</v>
      </c>
      <c r="L346">
        <v>1.0000000000000001E-5</v>
      </c>
      <c r="M346">
        <v>1.0000000000000001E-5</v>
      </c>
      <c r="Q346">
        <v>1.17727485577545</v>
      </c>
      <c r="R346">
        <v>-1.9743506829428299E-9</v>
      </c>
      <c r="S346" t="s">
        <v>2220</v>
      </c>
      <c r="T346" t="s">
        <v>3746</v>
      </c>
      <c r="U346" t="s">
        <v>3746</v>
      </c>
      <c r="V346" t="s">
        <v>3746</v>
      </c>
      <c r="W346" t="s">
        <v>4088</v>
      </c>
      <c r="X346">
        <v>1</v>
      </c>
      <c r="Y346" t="s">
        <v>5947</v>
      </c>
      <c r="Z346" t="s">
        <v>7734</v>
      </c>
      <c r="AA346">
        <v>1.0886378628077129</v>
      </c>
      <c r="AB346" t="str">
        <f>HYPERLINK("Melting_Curves/meltCurve_F5H7R9_PTMS.pdf", "Melting_Curves/meltCurve_F5H7R9_PTMS.pdf")</f>
        <v>Melting_Curves/meltCurve_F5H7R9_PTMS.pdf</v>
      </c>
    </row>
    <row r="347" spans="1:28" x14ac:dyDescent="0.25">
      <c r="A347" t="s">
        <v>351</v>
      </c>
      <c r="B347">
        <v>1</v>
      </c>
      <c r="C347">
        <v>0.99586449888774398</v>
      </c>
      <c r="D347">
        <v>1.24595034412744</v>
      </c>
      <c r="E347">
        <v>1.61941446081725</v>
      </c>
      <c r="F347">
        <v>0.95846583359460102</v>
      </c>
      <c r="G347">
        <v>0.75926008868186501</v>
      </c>
      <c r="H347">
        <v>0.73099834281363396</v>
      </c>
      <c r="I347">
        <v>0.85670563294068502</v>
      </c>
      <c r="J347">
        <v>1.09901315298368</v>
      </c>
      <c r="K347">
        <v>1.0036278944775401</v>
      </c>
      <c r="L347">
        <v>13276.552481032701</v>
      </c>
      <c r="M347">
        <v>250</v>
      </c>
      <c r="O347">
        <v>53.102812060428903</v>
      </c>
      <c r="P347">
        <v>-0.12955880779731399</v>
      </c>
      <c r="Q347">
        <v>0.88992100899447302</v>
      </c>
      <c r="R347">
        <v>9.1869772590212201E-2</v>
      </c>
      <c r="S347" t="s">
        <v>2221</v>
      </c>
      <c r="T347" t="s">
        <v>3746</v>
      </c>
      <c r="U347" t="s">
        <v>3746</v>
      </c>
      <c r="V347" t="s">
        <v>3746</v>
      </c>
      <c r="W347" t="s">
        <v>4089</v>
      </c>
      <c r="X347">
        <v>10</v>
      </c>
      <c r="Y347" t="s">
        <v>5948</v>
      </c>
      <c r="Z347" t="s">
        <v>7735</v>
      </c>
      <c r="AA347">
        <v>0.93802188056455382</v>
      </c>
      <c r="AB347" t="str">
        <f>HYPERLINK("Melting_Curves/meltCurve_F5H7S3_TPM1.pdf", "Melting_Curves/meltCurve_F5H7S3_TPM1.pdf")</f>
        <v>Melting_Curves/meltCurve_F5H7S3_TPM1.pdf</v>
      </c>
    </row>
    <row r="348" spans="1:28" x14ac:dyDescent="0.25">
      <c r="A348" t="s">
        <v>352</v>
      </c>
      <c r="B348">
        <v>1</v>
      </c>
      <c r="C348">
        <v>0.96630770035025304</v>
      </c>
      <c r="D348">
        <v>1.45888441633122</v>
      </c>
      <c r="E348">
        <v>1.89691045010194</v>
      </c>
      <c r="F348">
        <v>1.1550786763552701</v>
      </c>
      <c r="G348">
        <v>1.7708191750744899</v>
      </c>
      <c r="H348">
        <v>1.4284071305347901</v>
      </c>
      <c r="I348">
        <v>2.0098280098280101</v>
      </c>
      <c r="J348">
        <v>2.0549688953944298</v>
      </c>
      <c r="K348">
        <v>1.95156568560824</v>
      </c>
      <c r="L348">
        <v>11389.0291970157</v>
      </c>
      <c r="M348">
        <v>250</v>
      </c>
      <c r="O348">
        <v>45.553185644785103</v>
      </c>
      <c r="P348">
        <v>0.68601105848216304</v>
      </c>
      <c r="Q348">
        <v>1.5</v>
      </c>
      <c r="R348">
        <v>0.301727891911243</v>
      </c>
      <c r="S348" t="s">
        <v>2222</v>
      </c>
      <c r="T348" t="s">
        <v>3746</v>
      </c>
      <c r="U348" t="s">
        <v>3746</v>
      </c>
      <c r="V348" t="s">
        <v>3746</v>
      </c>
      <c r="W348" t="s">
        <v>4090</v>
      </c>
      <c r="X348">
        <v>1</v>
      </c>
      <c r="Y348" t="s">
        <v>5949</v>
      </c>
      <c r="Z348" t="s">
        <v>7736</v>
      </c>
      <c r="AA348">
        <v>1.40735807839431</v>
      </c>
      <c r="AB348" t="str">
        <f>HYPERLINK("Melting_Curves/meltCurve_F5H7S7_IQGAP2.pdf", "Melting_Curves/meltCurve_F5H7S7_IQGAP2.pdf")</f>
        <v>Melting_Curves/meltCurve_F5H7S7_IQGAP2.pdf</v>
      </c>
    </row>
    <row r="349" spans="1:28" x14ac:dyDescent="0.25">
      <c r="A349" t="s">
        <v>353</v>
      </c>
      <c r="B349">
        <v>1</v>
      </c>
      <c r="C349">
        <v>1.02917921686747</v>
      </c>
      <c r="D349">
        <v>1.2490587349397599</v>
      </c>
      <c r="E349">
        <v>1.6374246987951799</v>
      </c>
      <c r="F349">
        <v>1.6261295180722899</v>
      </c>
      <c r="G349">
        <v>1.95641942771084</v>
      </c>
      <c r="H349">
        <v>1.34403237951807</v>
      </c>
      <c r="I349">
        <v>2.1767695783132499</v>
      </c>
      <c r="J349">
        <v>2.2952748493975901</v>
      </c>
      <c r="K349">
        <v>2.0108245481927698</v>
      </c>
      <c r="L349">
        <v>9265.3653611291393</v>
      </c>
      <c r="M349">
        <v>201.41345640381101</v>
      </c>
      <c r="O349">
        <v>45.997184606347098</v>
      </c>
      <c r="P349">
        <v>0.54735267725228498</v>
      </c>
      <c r="Q349">
        <v>1.5</v>
      </c>
      <c r="R349">
        <v>0.181100097872328</v>
      </c>
      <c r="S349" t="s">
        <v>2223</v>
      </c>
      <c r="T349" t="s">
        <v>3746</v>
      </c>
      <c r="U349" t="s">
        <v>3746</v>
      </c>
      <c r="V349" t="s">
        <v>3746</v>
      </c>
      <c r="W349" t="s">
        <v>4091</v>
      </c>
      <c r="X349">
        <v>1</v>
      </c>
      <c r="Y349" t="s">
        <v>5950</v>
      </c>
      <c r="Z349" t="s">
        <v>7737</v>
      </c>
      <c r="AA349">
        <v>1.3999091412604221</v>
      </c>
      <c r="AB349" t="str">
        <f>HYPERLINK("Melting_Curves/meltCurve_F5H7V1_NRD1.pdf", "Melting_Curves/meltCurve_F5H7V1_NRD1.pdf")</f>
        <v>Melting_Curves/meltCurve_F5H7V1_NRD1.pdf</v>
      </c>
    </row>
    <row r="350" spans="1:28" x14ac:dyDescent="0.25">
      <c r="A350" t="s">
        <v>354</v>
      </c>
      <c r="B350">
        <v>1</v>
      </c>
      <c r="C350">
        <v>0.57310630122553996</v>
      </c>
      <c r="D350">
        <v>1.0758873929008601</v>
      </c>
      <c r="E350">
        <v>1.8551973103202499</v>
      </c>
      <c r="F350">
        <v>0.97722448600157996</v>
      </c>
      <c r="G350">
        <v>1.36880839130502</v>
      </c>
      <c r="H350">
        <v>1.38723021861395</v>
      </c>
      <c r="I350">
        <v>1.34990626404103</v>
      </c>
      <c r="J350">
        <v>1.2933858048122999</v>
      </c>
      <c r="K350">
        <v>1.26524952357343</v>
      </c>
      <c r="L350">
        <v>11560.1904812712</v>
      </c>
      <c r="M350">
        <v>250</v>
      </c>
      <c r="O350">
        <v>46.237802857330003</v>
      </c>
      <c r="P350">
        <v>0.48217387679467699</v>
      </c>
      <c r="Q350">
        <v>1.3567145698482601</v>
      </c>
      <c r="R350">
        <v>0.42565285500022598</v>
      </c>
      <c r="S350" t="s">
        <v>2224</v>
      </c>
      <c r="T350" t="s">
        <v>3746</v>
      </c>
      <c r="U350" t="s">
        <v>3746</v>
      </c>
      <c r="V350" t="s">
        <v>3746</v>
      </c>
      <c r="W350" t="s">
        <v>4092</v>
      </c>
      <c r="X350">
        <v>1</v>
      </c>
      <c r="Y350" t="s">
        <v>5951</v>
      </c>
      <c r="Z350" t="s">
        <v>7738</v>
      </c>
      <c r="AA350">
        <v>1.2824799316248621</v>
      </c>
      <c r="AB350" t="str">
        <f>HYPERLINK("Melting_Curves/meltCurve_F5H827_POMGNT1.pdf", "Melting_Curves/meltCurve_F5H827_POMGNT1.pdf")</f>
        <v>Melting_Curves/meltCurve_F5H827_POMGNT1.pdf</v>
      </c>
    </row>
    <row r="351" spans="1:28" x14ac:dyDescent="0.25">
      <c r="A351" t="s">
        <v>355</v>
      </c>
      <c r="B351">
        <v>1</v>
      </c>
      <c r="C351">
        <v>1.0166146410230601</v>
      </c>
      <c r="D351">
        <v>1.2826704259389801</v>
      </c>
      <c r="E351">
        <v>1.4740912294834401</v>
      </c>
      <c r="F351">
        <v>1.0197361796395099</v>
      </c>
      <c r="G351">
        <v>1.0759842916121201</v>
      </c>
      <c r="H351">
        <v>0.701198268049542</v>
      </c>
      <c r="I351">
        <v>0.98686939885207903</v>
      </c>
      <c r="J351">
        <v>1.0259993958312399</v>
      </c>
      <c r="K351">
        <v>0.92157889437116103</v>
      </c>
      <c r="L351">
        <v>2238.3717971893302</v>
      </c>
      <c r="M351">
        <v>38.541804176013301</v>
      </c>
      <c r="O351">
        <v>57.920779410411299</v>
      </c>
      <c r="P351">
        <v>-1.30640506603973E-2</v>
      </c>
      <c r="Q351">
        <v>0.921469355732775</v>
      </c>
      <c r="R351">
        <v>-5.6043412969417599E-3</v>
      </c>
      <c r="S351" t="s">
        <v>2225</v>
      </c>
      <c r="T351" t="s">
        <v>3746</v>
      </c>
      <c r="U351" t="s">
        <v>3746</v>
      </c>
      <c r="V351" t="s">
        <v>3746</v>
      </c>
      <c r="W351" t="s">
        <v>4093</v>
      </c>
      <c r="X351">
        <v>19</v>
      </c>
      <c r="Y351" t="s">
        <v>5952</v>
      </c>
      <c r="Z351" t="s">
        <v>7739</v>
      </c>
      <c r="AA351">
        <v>0.96911917371986267</v>
      </c>
      <c r="AB351" t="str">
        <f>HYPERLINK("Melting_Curves/meltCurve_F5H877_SPINT1.pdf", "Melting_Curves/meltCurve_F5H877_SPINT1.pdf")</f>
        <v>Melting_Curves/meltCurve_F5H877_SPINT1.pdf</v>
      </c>
    </row>
    <row r="352" spans="1:28" x14ac:dyDescent="0.25">
      <c r="A352" t="s">
        <v>356</v>
      </c>
      <c r="B352">
        <v>1</v>
      </c>
      <c r="C352">
        <v>1.08171371825791</v>
      </c>
      <c r="D352">
        <v>1.5612852886934301</v>
      </c>
      <c r="E352">
        <v>1.8933182011632901</v>
      </c>
      <c r="F352">
        <v>1.3414668747339999</v>
      </c>
      <c r="G352">
        <v>1.5251099446730001</v>
      </c>
      <c r="H352">
        <v>0.96190949070790199</v>
      </c>
      <c r="I352">
        <v>1.4212654277202399</v>
      </c>
      <c r="J352">
        <v>1.41956305858987</v>
      </c>
      <c r="K352">
        <v>1.38913321038445</v>
      </c>
      <c r="L352">
        <v>10788.306720656101</v>
      </c>
      <c r="M352">
        <v>250</v>
      </c>
      <c r="O352">
        <v>43.150465493491303</v>
      </c>
      <c r="P352">
        <v>0.636046793185989</v>
      </c>
      <c r="Q352">
        <v>1.43913144137645</v>
      </c>
      <c r="R352">
        <v>0.35407508737894</v>
      </c>
      <c r="S352" t="s">
        <v>2226</v>
      </c>
      <c r="T352" t="s">
        <v>3746</v>
      </c>
      <c r="U352" t="s">
        <v>3746</v>
      </c>
      <c r="V352" t="s">
        <v>3746</v>
      </c>
      <c r="W352" t="s">
        <v>4094</v>
      </c>
      <c r="X352">
        <v>2</v>
      </c>
      <c r="Y352" t="s">
        <v>5953</v>
      </c>
      <c r="Z352" t="s">
        <v>7740</v>
      </c>
      <c r="AA352">
        <v>1.3929421489911771</v>
      </c>
      <c r="AB352" t="str">
        <f>HYPERLINK("Melting_Curves/meltCurve_F6SKP1_GPNMB.pdf", "Melting_Curves/meltCurve_F6SKP1_GPNMB.pdf")</f>
        <v>Melting_Curves/meltCurve_F6SKP1_GPNMB.pdf</v>
      </c>
    </row>
    <row r="353" spans="1:28" x14ac:dyDescent="0.25">
      <c r="A353" t="s">
        <v>357</v>
      </c>
      <c r="B353">
        <v>1</v>
      </c>
      <c r="C353">
        <v>0.96542359140656697</v>
      </c>
      <c r="D353">
        <v>1.4402107823267101</v>
      </c>
      <c r="E353">
        <v>1.4223753546818001</v>
      </c>
      <c r="F353">
        <v>1.83526550466153</v>
      </c>
      <c r="G353">
        <v>1.5157681394406199</v>
      </c>
      <c r="H353">
        <v>0.76542359140656702</v>
      </c>
      <c r="I353">
        <v>1.37474665585732</v>
      </c>
      <c r="J353">
        <v>1.3384272395622201</v>
      </c>
      <c r="K353">
        <v>1.1958654235914099</v>
      </c>
      <c r="L353">
        <v>11082.0825185427</v>
      </c>
      <c r="M353">
        <v>250</v>
      </c>
      <c r="O353">
        <v>44.325505543836201</v>
      </c>
      <c r="P353">
        <v>0.50903730708188399</v>
      </c>
      <c r="Q353">
        <v>1.3610132763634799</v>
      </c>
      <c r="R353">
        <v>0.26213492010123601</v>
      </c>
      <c r="S353" t="s">
        <v>2227</v>
      </c>
      <c r="T353" t="s">
        <v>3746</v>
      </c>
      <c r="U353" t="s">
        <v>3746</v>
      </c>
      <c r="V353" t="s">
        <v>3746</v>
      </c>
      <c r="W353" t="s">
        <v>4095</v>
      </c>
      <c r="X353">
        <v>1</v>
      </c>
      <c r="Y353" t="s">
        <v>5954</v>
      </c>
      <c r="Z353" t="s">
        <v>7741</v>
      </c>
      <c r="AA353">
        <v>1.3088990371025631</v>
      </c>
      <c r="AB353" t="str">
        <f>HYPERLINK("Melting_Curves/meltCurve_F6U1T9_PPP3R1.pdf", "Melting_Curves/meltCurve_F6U1T9_PPP3R1.pdf")</f>
        <v>Melting_Curves/meltCurve_F6U1T9_PPP3R1.pdf</v>
      </c>
    </row>
    <row r="354" spans="1:28" x14ac:dyDescent="0.25">
      <c r="A354" t="s">
        <v>358</v>
      </c>
      <c r="B354">
        <v>1</v>
      </c>
      <c r="C354">
        <v>0.94098390470128201</v>
      </c>
      <c r="D354">
        <v>0.75143220878421402</v>
      </c>
      <c r="E354">
        <v>1.3166318086750901</v>
      </c>
      <c r="F354">
        <v>0.76325361462217001</v>
      </c>
      <c r="G354">
        <v>1.3250886605437799</v>
      </c>
      <c r="H354">
        <v>0.497590251886878</v>
      </c>
      <c r="I354">
        <v>0.94725834318450497</v>
      </c>
      <c r="J354">
        <v>0.82082386105301397</v>
      </c>
      <c r="K354">
        <v>0.83395471492225104</v>
      </c>
      <c r="L354">
        <v>3228.6400913871898</v>
      </c>
      <c r="M354">
        <v>54.691787981703797</v>
      </c>
      <c r="O354">
        <v>58.954594143653999</v>
      </c>
      <c r="P354">
        <v>-4.9149326315647002E-2</v>
      </c>
      <c r="Q354">
        <v>0.78807956609913099</v>
      </c>
      <c r="R354">
        <v>0.17628183187340499</v>
      </c>
      <c r="S354" t="s">
        <v>2228</v>
      </c>
      <c r="T354" t="s">
        <v>3746</v>
      </c>
      <c r="U354" t="s">
        <v>3746</v>
      </c>
      <c r="V354" t="s">
        <v>3746</v>
      </c>
      <c r="W354" t="s">
        <v>4096</v>
      </c>
      <c r="X354">
        <v>1</v>
      </c>
      <c r="Y354" t="s">
        <v>5955</v>
      </c>
      <c r="Z354" t="s">
        <v>7742</v>
      </c>
      <c r="AA354">
        <v>0.92299016869217854</v>
      </c>
      <c r="AB354" t="str">
        <f>HYPERLINK("Melting_Curves/meltCurve_F6UPZ7_TNFRSF14.pdf", "Melting_Curves/meltCurve_F6UPZ7_TNFRSF14.pdf")</f>
        <v>Melting_Curves/meltCurve_F6UPZ7_TNFRSF14.pdf</v>
      </c>
    </row>
    <row r="355" spans="1:28" x14ac:dyDescent="0.25">
      <c r="A355" t="s">
        <v>359</v>
      </c>
      <c r="B355">
        <v>1</v>
      </c>
      <c r="C355">
        <v>1.1430155210643</v>
      </c>
      <c r="D355">
        <v>1.7402069475240201</v>
      </c>
      <c r="E355">
        <v>2.2621027346637099</v>
      </c>
      <c r="F355">
        <v>2.0177383592017701</v>
      </c>
      <c r="G355">
        <v>2.11409830007391</v>
      </c>
      <c r="H355">
        <v>1.21553954175905</v>
      </c>
      <c r="I355">
        <v>2.52605321507761</v>
      </c>
      <c r="J355">
        <v>2.625</v>
      </c>
      <c r="K355">
        <v>2.4454915003695499</v>
      </c>
      <c r="L355">
        <v>10764.242256973301</v>
      </c>
      <c r="M355">
        <v>250</v>
      </c>
      <c r="O355">
        <v>43.054213845320099</v>
      </c>
      <c r="P355">
        <v>0.72582907396671303</v>
      </c>
      <c r="Q355">
        <v>1.5</v>
      </c>
      <c r="R355">
        <v>-0.39447837758568499</v>
      </c>
      <c r="S355" t="s">
        <v>2229</v>
      </c>
      <c r="T355" t="s">
        <v>3746</v>
      </c>
      <c r="U355" t="s">
        <v>3746</v>
      </c>
      <c r="V355" t="s">
        <v>3746</v>
      </c>
      <c r="W355" t="s">
        <v>4097</v>
      </c>
      <c r="X355">
        <v>2</v>
      </c>
      <c r="Y355" t="s">
        <v>5956</v>
      </c>
      <c r="Z355" t="s">
        <v>7743</v>
      </c>
      <c r="AA355">
        <v>1.449012734034123</v>
      </c>
      <c r="AB355" t="str">
        <f>HYPERLINK("Melting_Curves/meltCurve_F6UXX1_SYNCRIP.pdf", "Melting_Curves/meltCurve_F6UXX1_SYNCRIP.pdf")</f>
        <v>Melting_Curves/meltCurve_F6UXX1_SYNCRIP.pdf</v>
      </c>
    </row>
    <row r="356" spans="1:28" x14ac:dyDescent="0.25">
      <c r="A356" t="s">
        <v>360</v>
      </c>
      <c r="B356">
        <v>1</v>
      </c>
      <c r="C356">
        <v>1.05546186093577</v>
      </c>
      <c r="D356">
        <v>1.553156973289</v>
      </c>
      <c r="E356">
        <v>1.8482468398143199</v>
      </c>
      <c r="F356">
        <v>1.4000064247739299</v>
      </c>
      <c r="G356">
        <v>1.6982283685892801</v>
      </c>
      <c r="H356">
        <v>1.2098009926275699</v>
      </c>
      <c r="I356">
        <v>1.8670393035545101</v>
      </c>
      <c r="J356">
        <v>1.63301691321737</v>
      </c>
      <c r="K356">
        <v>1.39207182897252</v>
      </c>
      <c r="L356">
        <v>10814.2893501987</v>
      </c>
      <c r="M356">
        <v>250</v>
      </c>
      <c r="O356">
        <v>43.254387509674203</v>
      </c>
      <c r="P356">
        <v>0.72247003350207895</v>
      </c>
      <c r="Q356">
        <v>1.5</v>
      </c>
      <c r="R356">
        <v>0.50826872476602802</v>
      </c>
      <c r="S356" t="s">
        <v>2230</v>
      </c>
      <c r="T356" t="s">
        <v>3746</v>
      </c>
      <c r="U356" t="s">
        <v>3746</v>
      </c>
      <c r="V356" t="s">
        <v>3746</v>
      </c>
      <c r="W356" t="s">
        <v>4098</v>
      </c>
      <c r="X356">
        <v>3</v>
      </c>
      <c r="Y356" t="s">
        <v>5957</v>
      </c>
      <c r="Z356" t="s">
        <v>7744</v>
      </c>
      <c r="AA356">
        <v>1.445676085497553</v>
      </c>
      <c r="AB356" t="str">
        <f>HYPERLINK("Melting_Curves/meltCurve_F8VPE8_RPLP0.pdf", "Melting_Curves/meltCurve_F8VPE8_RPLP0.pdf")</f>
        <v>Melting_Curves/meltCurve_F8VPE8_RPLP0.pdf</v>
      </c>
    </row>
    <row r="357" spans="1:28" x14ac:dyDescent="0.25">
      <c r="A357" t="s">
        <v>361</v>
      </c>
      <c r="B357">
        <v>1</v>
      </c>
      <c r="C357">
        <v>0.90884137532505105</v>
      </c>
      <c r="D357">
        <v>1.38085091014158</v>
      </c>
      <c r="E357">
        <v>1.6321149956659899</v>
      </c>
      <c r="F357">
        <v>1.1654507367812801</v>
      </c>
      <c r="G357">
        <v>1.19484975440624</v>
      </c>
      <c r="H357">
        <v>0.82916787055764196</v>
      </c>
      <c r="I357">
        <v>1.2489526148512</v>
      </c>
      <c r="J357">
        <v>1.25090291823172</v>
      </c>
      <c r="K357">
        <v>1.16743715689107</v>
      </c>
      <c r="L357">
        <v>11089.9080552714</v>
      </c>
      <c r="M357">
        <v>250</v>
      </c>
      <c r="O357">
        <v>44.356792687879498</v>
      </c>
      <c r="P357">
        <v>0.32931119398115699</v>
      </c>
      <c r="Q357">
        <v>1.2337150177798399</v>
      </c>
      <c r="R357">
        <v>0.24920513552134399</v>
      </c>
      <c r="S357" t="s">
        <v>2231</v>
      </c>
      <c r="T357" t="s">
        <v>3746</v>
      </c>
      <c r="U357" t="s">
        <v>3746</v>
      </c>
      <c r="V357" t="s">
        <v>3746</v>
      </c>
      <c r="W357" t="s">
        <v>4099</v>
      </c>
      <c r="X357">
        <v>3</v>
      </c>
      <c r="Y357" t="s">
        <v>5958</v>
      </c>
      <c r="Z357" t="s">
        <v>7745</v>
      </c>
      <c r="AA357">
        <v>1.19973310555507</v>
      </c>
      <c r="AB357" t="str">
        <f>HYPERLINK("Melting_Curves/meltCurve_F8VQX6_METTL7A.pdf", "Melting_Curves/meltCurve_F8VQX6_METTL7A.pdf")</f>
        <v>Melting_Curves/meltCurve_F8VQX6_METTL7A.pdf</v>
      </c>
    </row>
    <row r="358" spans="1:28" x14ac:dyDescent="0.25">
      <c r="A358" t="s">
        <v>362</v>
      </c>
      <c r="B358">
        <v>1</v>
      </c>
      <c r="C358">
        <v>1.3455942569392401</v>
      </c>
      <c r="D358">
        <v>2.1539962711923502</v>
      </c>
      <c r="E358">
        <v>1.9273056751058499</v>
      </c>
      <c r="F358">
        <v>1.9088358801902701</v>
      </c>
      <c r="G358">
        <v>1.8764266174138799</v>
      </c>
      <c r="H358">
        <v>1.2782143541670301</v>
      </c>
      <c r="I358">
        <v>2.3433987907511602</v>
      </c>
      <c r="J358">
        <v>2.0459653952710402</v>
      </c>
      <c r="K358">
        <v>2.4183234305030399</v>
      </c>
      <c r="L358">
        <v>466.78943367799502</v>
      </c>
      <c r="M358">
        <v>25.233054471160699</v>
      </c>
      <c r="Q358">
        <v>1.5</v>
      </c>
      <c r="R358">
        <v>-0.54191660612942005</v>
      </c>
      <c r="S358" t="s">
        <v>2232</v>
      </c>
      <c r="T358" t="s">
        <v>3746</v>
      </c>
      <c r="U358" t="s">
        <v>3746</v>
      </c>
      <c r="V358" t="s">
        <v>3746</v>
      </c>
      <c r="W358" t="s">
        <v>3770</v>
      </c>
      <c r="X358">
        <v>2</v>
      </c>
      <c r="Y358" t="s">
        <v>5959</v>
      </c>
      <c r="Z358" t="s">
        <v>7746</v>
      </c>
      <c r="AA358">
        <v>1.4999999108206381</v>
      </c>
      <c r="AB358" t="str">
        <f>HYPERLINK("Melting_Curves/meltCurve_F8VR82_PPP1CC.pdf", "Melting_Curves/meltCurve_F8VR82_PPP1CC.pdf")</f>
        <v>Melting_Curves/meltCurve_F8VR82_PPP1CC.pdf</v>
      </c>
    </row>
    <row r="359" spans="1:28" x14ac:dyDescent="0.25">
      <c r="A359" t="s">
        <v>363</v>
      </c>
      <c r="B359">
        <v>1</v>
      </c>
      <c r="C359">
        <v>0.99261243708394198</v>
      </c>
      <c r="D359">
        <v>1.4941819559452301</v>
      </c>
      <c r="E359">
        <v>1.6177950966065899</v>
      </c>
      <c r="F359">
        <v>1.3587703631541901</v>
      </c>
      <c r="G359">
        <v>1.6973805271418501</v>
      </c>
      <c r="H359">
        <v>0.91424473669968098</v>
      </c>
      <c r="I359">
        <v>1.4235536071873101</v>
      </c>
      <c r="J359">
        <v>1.4087784813552</v>
      </c>
      <c r="K359">
        <v>1.2576446392812699</v>
      </c>
      <c r="L359">
        <v>11043.8847621594</v>
      </c>
      <c r="M359">
        <v>250</v>
      </c>
      <c r="O359">
        <v>44.172711790129</v>
      </c>
      <c r="P359">
        <v>0.56107172847809506</v>
      </c>
      <c r="Q359">
        <v>1.3965449584719001</v>
      </c>
      <c r="R359">
        <v>0.38856319912459703</v>
      </c>
      <c r="S359" t="s">
        <v>2233</v>
      </c>
      <c r="T359" t="s">
        <v>3746</v>
      </c>
      <c r="U359" t="s">
        <v>3746</v>
      </c>
      <c r="V359" t="s">
        <v>3746</v>
      </c>
      <c r="W359" t="s">
        <v>4100</v>
      </c>
      <c r="X359">
        <v>2</v>
      </c>
      <c r="Y359" t="s">
        <v>5960</v>
      </c>
      <c r="Z359" t="s">
        <v>7747</v>
      </c>
      <c r="AA359">
        <v>1.3413212500908209</v>
      </c>
      <c r="AB359" t="str">
        <f>HYPERLINK("Melting_Curves/meltCurve_F8VRJ2_NAP1L1.pdf", "Melting_Curves/meltCurve_F8VRJ2_NAP1L1.pdf")</f>
        <v>Melting_Curves/meltCurve_F8VRJ2_NAP1L1.pdf</v>
      </c>
    </row>
    <row r="360" spans="1:28" x14ac:dyDescent="0.25">
      <c r="A360" t="s">
        <v>364</v>
      </c>
      <c r="B360">
        <v>1</v>
      </c>
      <c r="C360">
        <v>0.97462983026363303</v>
      </c>
      <c r="D360">
        <v>1.3326561935716901</v>
      </c>
      <c r="E360">
        <v>1.9669104369808601</v>
      </c>
      <c r="F360">
        <v>1.8194745395449601</v>
      </c>
      <c r="G360">
        <v>1.67334777898158</v>
      </c>
      <c r="H360">
        <v>0.70815276273022798</v>
      </c>
      <c r="I360">
        <v>1.79401408450704</v>
      </c>
      <c r="J360">
        <v>1.4667750090285301</v>
      </c>
      <c r="K360">
        <v>1.5978241242325799</v>
      </c>
      <c r="L360">
        <v>11468.395282539201</v>
      </c>
      <c r="M360">
        <v>250</v>
      </c>
      <c r="O360">
        <v>45.870644880208303</v>
      </c>
      <c r="P360">
        <v>0.68126357671022397</v>
      </c>
      <c r="Q360">
        <v>1.5</v>
      </c>
      <c r="R360">
        <v>0.32135386841492702</v>
      </c>
      <c r="S360" t="s">
        <v>2234</v>
      </c>
      <c r="T360" t="s">
        <v>3746</v>
      </c>
      <c r="U360" t="s">
        <v>3746</v>
      </c>
      <c r="V360" t="s">
        <v>3746</v>
      </c>
      <c r="W360" t="s">
        <v>4101</v>
      </c>
      <c r="X360">
        <v>1</v>
      </c>
      <c r="Y360" t="s">
        <v>5961</v>
      </c>
      <c r="Z360" t="s">
        <v>7748</v>
      </c>
      <c r="AA360">
        <v>1.402066727453587</v>
      </c>
      <c r="AB360" t="str">
        <f>HYPERLINK("Melting_Curves/meltCurve_F8VRR3_METAP2.pdf", "Melting_Curves/meltCurve_F8VRR3_METAP2.pdf")</f>
        <v>Melting_Curves/meltCurve_F8VRR3_METAP2.pdf</v>
      </c>
    </row>
    <row r="361" spans="1:28" x14ac:dyDescent="0.25">
      <c r="A361" t="s">
        <v>365</v>
      </c>
      <c r="B361">
        <v>1</v>
      </c>
      <c r="C361">
        <v>0.91750132485426605</v>
      </c>
      <c r="D361">
        <v>1.2324324324324301</v>
      </c>
      <c r="E361">
        <v>1.1670376258611601</v>
      </c>
      <c r="F361">
        <v>0.84631690514043501</v>
      </c>
      <c r="G361">
        <v>1.08995760466349</v>
      </c>
      <c r="H361">
        <v>0.47037625861155302</v>
      </c>
      <c r="I361">
        <v>0.87337042925278197</v>
      </c>
      <c r="J361">
        <v>0.78910969793322705</v>
      </c>
      <c r="K361">
        <v>0.77999470058293596</v>
      </c>
      <c r="L361">
        <v>6266.12265011213</v>
      </c>
      <c r="M361">
        <v>106.80680919186401</v>
      </c>
      <c r="O361">
        <v>58.647260734538499</v>
      </c>
      <c r="P361">
        <v>-0.12328093085599399</v>
      </c>
      <c r="Q361">
        <v>0.72922742876009095</v>
      </c>
      <c r="R361">
        <v>0.50286146185209202</v>
      </c>
      <c r="S361" t="s">
        <v>2235</v>
      </c>
      <c r="T361" t="s">
        <v>3746</v>
      </c>
      <c r="U361" t="s">
        <v>3746</v>
      </c>
      <c r="V361" t="s">
        <v>3746</v>
      </c>
      <c r="W361" t="s">
        <v>4102</v>
      </c>
      <c r="X361">
        <v>2</v>
      </c>
      <c r="Y361" t="s">
        <v>5962</v>
      </c>
      <c r="Z361" t="s">
        <v>7749</v>
      </c>
      <c r="AA361">
        <v>0.89787144294003129</v>
      </c>
      <c r="AB361" t="str">
        <f>HYPERLINK("Melting_Curves/meltCurve_F8VRX1_RAPGEF3.pdf", "Melting_Curves/meltCurve_F8VRX1_RAPGEF3.pdf")</f>
        <v>Melting_Curves/meltCurve_F8VRX1_RAPGEF3.pdf</v>
      </c>
    </row>
    <row r="362" spans="1:28" x14ac:dyDescent="0.25">
      <c r="A362" t="s">
        <v>366</v>
      </c>
      <c r="B362">
        <v>1</v>
      </c>
      <c r="C362">
        <v>0.98548937394664404</v>
      </c>
      <c r="D362">
        <v>1.38418218440416</v>
      </c>
      <c r="E362">
        <v>1.76787108973568</v>
      </c>
      <c r="F362">
        <v>1.30402433510092</v>
      </c>
      <c r="G362">
        <v>1.58186377276277</v>
      </c>
      <c r="H362">
        <v>0.93377728449870501</v>
      </c>
      <c r="I362">
        <v>1.33514202326633</v>
      </c>
      <c r="J362">
        <v>1.27598964113947</v>
      </c>
      <c r="K362">
        <v>1.2045463887861201</v>
      </c>
      <c r="L362">
        <v>11080.636637699101</v>
      </c>
      <c r="M362">
        <v>250</v>
      </c>
      <c r="O362">
        <v>44.319710212997002</v>
      </c>
      <c r="P362">
        <v>0.491356473292135</v>
      </c>
      <c r="Q362">
        <v>1.3484284236249799</v>
      </c>
      <c r="R362">
        <v>0.31896132073418498</v>
      </c>
      <c r="S362" t="s">
        <v>2236</v>
      </c>
      <c r="T362" t="s">
        <v>3746</v>
      </c>
      <c r="U362" t="s">
        <v>3746</v>
      </c>
      <c r="V362" t="s">
        <v>3746</v>
      </c>
      <c r="W362" t="s">
        <v>4103</v>
      </c>
      <c r="X362">
        <v>1</v>
      </c>
      <c r="Y362" t="s">
        <v>4103</v>
      </c>
      <c r="Z362" t="s">
        <v>7750</v>
      </c>
      <c r="AA362">
        <v>1.2981980516298699</v>
      </c>
      <c r="AB362" t="str">
        <f>HYPERLINK("Melting_Curves/meltCurve_F8VSA6_NEDD8.pdf", "Melting_Curves/meltCurve_F8VSA6_NEDD8.pdf")</f>
        <v>Melting_Curves/meltCurve_F8VSA6_NEDD8.pdf</v>
      </c>
    </row>
    <row r="363" spans="1:28" x14ac:dyDescent="0.25">
      <c r="A363" t="s">
        <v>367</v>
      </c>
      <c r="B363">
        <v>1</v>
      </c>
      <c r="C363">
        <v>1.38756781422704</v>
      </c>
      <c r="D363">
        <v>1.6849363687065899</v>
      </c>
      <c r="E363">
        <v>2.4414642802819002</v>
      </c>
      <c r="F363">
        <v>2.0168331389748002</v>
      </c>
      <c r="G363">
        <v>2.16452872281093</v>
      </c>
      <c r="H363">
        <v>1.84748770471024</v>
      </c>
      <c r="I363">
        <v>2.6699285098615801</v>
      </c>
      <c r="J363">
        <v>2.5085940272778</v>
      </c>
      <c r="K363">
        <v>2.1948486538559</v>
      </c>
      <c r="S363" t="s">
        <v>2237</v>
      </c>
      <c r="T363" t="s">
        <v>3746</v>
      </c>
      <c r="U363" t="s">
        <v>3747</v>
      </c>
      <c r="V363" t="s">
        <v>3746</v>
      </c>
      <c r="W363" t="s">
        <v>4104</v>
      </c>
      <c r="X363">
        <v>1</v>
      </c>
      <c r="Y363" t="s">
        <v>5963</v>
      </c>
      <c r="Z363" t="s">
        <v>7751</v>
      </c>
      <c r="AB363" t="str">
        <f>HYPERLINK("Melting_Curves/meltCurve_F8VSH3_PRKAG1.pdf", "Melting_Curves/meltCurve_F8VSH3_PRKAG1.pdf")</f>
        <v>Melting_Curves/meltCurve_F8VSH3_PRKAG1.pdf</v>
      </c>
    </row>
    <row r="364" spans="1:28" x14ac:dyDescent="0.25">
      <c r="A364" t="s">
        <v>368</v>
      </c>
      <c r="B364">
        <v>1</v>
      </c>
      <c r="C364">
        <v>0.83727182680062295</v>
      </c>
      <c r="D364">
        <v>1.18540399037781</v>
      </c>
      <c r="E364">
        <v>1.3917857648224099</v>
      </c>
      <c r="F364">
        <v>1.06441913117306</v>
      </c>
      <c r="G364">
        <v>1.03877175604924</v>
      </c>
      <c r="H364">
        <v>0.72566152539974504</v>
      </c>
      <c r="I364">
        <v>1.15098344417716</v>
      </c>
      <c r="J364">
        <v>0.981074005943116</v>
      </c>
      <c r="K364">
        <v>0.963775293618226</v>
      </c>
      <c r="L364">
        <v>1021.97978975904</v>
      </c>
      <c r="M364">
        <v>11.000200080426501</v>
      </c>
      <c r="Q364">
        <v>0</v>
      </c>
      <c r="R364">
        <v>-3.4172198379011497E-2</v>
      </c>
      <c r="S364" t="s">
        <v>2238</v>
      </c>
      <c r="T364" t="s">
        <v>3746</v>
      </c>
      <c r="U364" t="s">
        <v>3746</v>
      </c>
      <c r="V364" t="s">
        <v>3746</v>
      </c>
      <c r="W364" t="s">
        <v>4105</v>
      </c>
      <c r="X364">
        <v>2</v>
      </c>
      <c r="Y364" t="s">
        <v>5964</v>
      </c>
      <c r="Z364" t="s">
        <v>7752</v>
      </c>
      <c r="AA364">
        <v>0.99618690662377507</v>
      </c>
      <c r="AB364" t="str">
        <f>HYPERLINK("Melting_Curves/meltCurve_F8VU90_FKBP11.pdf", "Melting_Curves/meltCurve_F8VU90_FKBP11.pdf")</f>
        <v>Melting_Curves/meltCurve_F8VU90_FKBP11.pdf</v>
      </c>
    </row>
    <row r="365" spans="1:28" x14ac:dyDescent="0.25">
      <c r="A365" t="s">
        <v>369</v>
      </c>
      <c r="B365">
        <v>1</v>
      </c>
      <c r="C365">
        <v>1.0376499895176901</v>
      </c>
      <c r="D365">
        <v>1.25010790612783</v>
      </c>
      <c r="E365">
        <v>1.5686467954963099</v>
      </c>
      <c r="F365">
        <v>1.0473430428294801</v>
      </c>
      <c r="G365">
        <v>1.1783719123432299</v>
      </c>
      <c r="H365">
        <v>1.71897544673137</v>
      </c>
      <c r="I365">
        <v>2.4257297537273899</v>
      </c>
      <c r="J365">
        <v>2.4681522771275999</v>
      </c>
      <c r="K365">
        <v>2.4882536472271202</v>
      </c>
      <c r="L365">
        <v>912.79158562965097</v>
      </c>
      <c r="M365">
        <v>19.5994354294345</v>
      </c>
      <c r="O365">
        <v>46.095637893957203</v>
      </c>
      <c r="P365">
        <v>5.3150708519945397E-2</v>
      </c>
      <c r="Q365">
        <v>1.5</v>
      </c>
      <c r="R365">
        <v>0.111719595217654</v>
      </c>
      <c r="S365" t="s">
        <v>2239</v>
      </c>
      <c r="T365" t="s">
        <v>3746</v>
      </c>
      <c r="U365" t="s">
        <v>3746</v>
      </c>
      <c r="V365" t="s">
        <v>3746</v>
      </c>
      <c r="W365" t="s">
        <v>4106</v>
      </c>
      <c r="X365">
        <v>3</v>
      </c>
      <c r="Y365" t="s">
        <v>5965</v>
      </c>
      <c r="Z365" t="s">
        <v>7753</v>
      </c>
      <c r="AA365">
        <v>1.382649519185523</v>
      </c>
      <c r="AB365" t="str">
        <f>HYPERLINK("Melting_Curves/meltCurve_F8VUJ3_POC1B_GALNT4.pdf", "Melting_Curves/meltCurve_F8VUJ3_POC1B_GALNT4.pdf")</f>
        <v>Melting_Curves/meltCurve_F8VUJ3_POC1B_GALNT4.pdf</v>
      </c>
    </row>
    <row r="366" spans="1:28" x14ac:dyDescent="0.25">
      <c r="A366" t="s">
        <v>370</v>
      </c>
      <c r="B366">
        <v>1</v>
      </c>
      <c r="C366">
        <v>1.0222475515028699</v>
      </c>
      <c r="D366">
        <v>1.2036052009456299</v>
      </c>
      <c r="E366">
        <v>1.32223066531577</v>
      </c>
      <c r="F366">
        <v>0.92502532928064796</v>
      </c>
      <c r="G366">
        <v>1.0491388044579499</v>
      </c>
      <c r="H366">
        <v>0.67430766632894301</v>
      </c>
      <c r="I366">
        <v>0.86841438703140805</v>
      </c>
      <c r="J366">
        <v>0.92207024653833203</v>
      </c>
      <c r="K366">
        <v>0.81965552178318102</v>
      </c>
      <c r="L366">
        <v>4652.5732973008999</v>
      </c>
      <c r="M366">
        <v>79.434240551895996</v>
      </c>
      <c r="O366">
        <v>58.534305074403299</v>
      </c>
      <c r="P366">
        <v>-6.0127803258697397E-2</v>
      </c>
      <c r="Q366">
        <v>0.82276973449777202</v>
      </c>
      <c r="R366">
        <v>0.38460364213044501</v>
      </c>
      <c r="S366" t="s">
        <v>2240</v>
      </c>
      <c r="T366" t="s">
        <v>3746</v>
      </c>
      <c r="U366" t="s">
        <v>3746</v>
      </c>
      <c r="V366" t="s">
        <v>3746</v>
      </c>
      <c r="W366" t="s">
        <v>4107</v>
      </c>
      <c r="X366">
        <v>1</v>
      </c>
      <c r="Y366" t="s">
        <v>5966</v>
      </c>
      <c r="Z366" t="s">
        <v>7754</v>
      </c>
      <c r="AA366">
        <v>0.93266423092306583</v>
      </c>
      <c r="AB366" t="str">
        <f>HYPERLINK("Melting_Curves/meltCurve_F8VV13_MUCL1.pdf", "Melting_Curves/meltCurve_F8VV13_MUCL1.pdf")</f>
        <v>Melting_Curves/meltCurve_F8VV13_MUCL1.pdf</v>
      </c>
    </row>
    <row r="367" spans="1:28" x14ac:dyDescent="0.25">
      <c r="A367" t="s">
        <v>371</v>
      </c>
      <c r="B367">
        <v>1</v>
      </c>
      <c r="C367">
        <v>1.21968646688706</v>
      </c>
      <c r="D367">
        <v>1.3808254239095701</v>
      </c>
      <c r="E367">
        <v>1.86136290924603</v>
      </c>
      <c r="F367">
        <v>1.70928868508052</v>
      </c>
      <c r="G367">
        <v>1.8777860723045701</v>
      </c>
      <c r="H367">
        <v>1.0688919697131301</v>
      </c>
      <c r="I367">
        <v>1.44726458355551</v>
      </c>
      <c r="J367">
        <v>1.5823824250826499</v>
      </c>
      <c r="K367">
        <v>1.4360669723792301</v>
      </c>
      <c r="L367">
        <v>1653.80792040459</v>
      </c>
      <c r="M367">
        <v>38.153221403033598</v>
      </c>
      <c r="O367">
        <v>43.227924785098303</v>
      </c>
      <c r="P367">
        <v>0.110326041614127</v>
      </c>
      <c r="Q367">
        <v>1.5</v>
      </c>
      <c r="R367">
        <v>0.37694241203876599</v>
      </c>
      <c r="S367" t="s">
        <v>2241</v>
      </c>
      <c r="T367" t="s">
        <v>3746</v>
      </c>
      <c r="U367" t="s">
        <v>3746</v>
      </c>
      <c r="V367" t="s">
        <v>3746</v>
      </c>
      <c r="W367" t="s">
        <v>4108</v>
      </c>
      <c r="X367">
        <v>2</v>
      </c>
      <c r="Y367" t="s">
        <v>5967</v>
      </c>
      <c r="Z367" t="s">
        <v>7755</v>
      </c>
      <c r="AA367">
        <v>1.441957041344935</v>
      </c>
      <c r="AB367" t="str">
        <f>HYPERLINK("Melting_Curves/meltCurve_F8VVL1_DENR.pdf", "Melting_Curves/meltCurve_F8VVL1_DENR.pdf")</f>
        <v>Melting_Curves/meltCurve_F8VVL1_DENR.pdf</v>
      </c>
    </row>
    <row r="368" spans="1:28" x14ac:dyDescent="0.25">
      <c r="A368" t="s">
        <v>372</v>
      </c>
      <c r="B368">
        <v>1</v>
      </c>
      <c r="C368">
        <v>1.3891745509392599</v>
      </c>
      <c r="D368">
        <v>1.8328877005347599</v>
      </c>
      <c r="E368">
        <v>2.2523310023310001</v>
      </c>
      <c r="F368">
        <v>0.926504867681338</v>
      </c>
      <c r="G368">
        <v>0.70190593720005501</v>
      </c>
      <c r="H368">
        <v>0.88800904977375605</v>
      </c>
      <c r="I368">
        <v>0.99790895379130695</v>
      </c>
      <c r="J368">
        <v>1.1307075277663501</v>
      </c>
      <c r="K368">
        <v>1.21904566022213</v>
      </c>
      <c r="L368">
        <v>15000</v>
      </c>
      <c r="M368">
        <v>224.27226504453</v>
      </c>
      <c r="O368">
        <v>66.877673289711694</v>
      </c>
      <c r="P368">
        <v>0.18364931499790099</v>
      </c>
      <c r="Q368">
        <v>1.2190558669284</v>
      </c>
      <c r="R368">
        <v>-0.23633890962189899</v>
      </c>
      <c r="S368" t="s">
        <v>2242</v>
      </c>
      <c r="T368" t="s">
        <v>3746</v>
      </c>
      <c r="U368" t="s">
        <v>3746</v>
      </c>
      <c r="V368" t="s">
        <v>3746</v>
      </c>
      <c r="W368" t="s">
        <v>4109</v>
      </c>
      <c r="X368">
        <v>1</v>
      </c>
      <c r="Y368" t="s">
        <v>5968</v>
      </c>
      <c r="Z368" t="s">
        <v>7756</v>
      </c>
      <c r="AA368">
        <v>1.022728125472693</v>
      </c>
      <c r="AB368" t="str">
        <f>HYPERLINK("Melting_Curves/meltCurve_F8VWH5_SCNN1D.pdf", "Melting_Curves/meltCurve_F8VWH5_SCNN1D.pdf")</f>
        <v>Melting_Curves/meltCurve_F8VWH5_SCNN1D.pdf</v>
      </c>
    </row>
    <row r="369" spans="1:28" x14ac:dyDescent="0.25">
      <c r="A369" t="s">
        <v>373</v>
      </c>
      <c r="B369">
        <v>1</v>
      </c>
      <c r="C369">
        <v>1.4446023207821601</v>
      </c>
      <c r="D369">
        <v>3.1905341858655598</v>
      </c>
      <c r="E369">
        <v>5.1568050339997997</v>
      </c>
      <c r="F369">
        <v>1.8158936364559</v>
      </c>
      <c r="G369">
        <v>2.1275076964714601</v>
      </c>
      <c r="H369">
        <v>5.3053215602692898</v>
      </c>
      <c r="I369">
        <v>2.923948712744</v>
      </c>
      <c r="J369">
        <v>3.1800466862884398</v>
      </c>
      <c r="K369">
        <v>4.9964477824013001</v>
      </c>
      <c r="L369">
        <v>1102.22834926835</v>
      </c>
      <c r="M369">
        <v>43.568767809587797</v>
      </c>
      <c r="Q369">
        <v>1.5</v>
      </c>
      <c r="R369">
        <v>-1.15901546883567</v>
      </c>
      <c r="S369" t="s">
        <v>2243</v>
      </c>
      <c r="T369" t="s">
        <v>3746</v>
      </c>
      <c r="U369" t="s">
        <v>3746</v>
      </c>
      <c r="V369" t="s">
        <v>3746</v>
      </c>
      <c r="W369" t="s">
        <v>4110</v>
      </c>
      <c r="X369">
        <v>1</v>
      </c>
      <c r="Y369" t="s">
        <v>5969</v>
      </c>
      <c r="Z369" t="s">
        <v>7757</v>
      </c>
      <c r="AA369">
        <v>1.499999997092698</v>
      </c>
      <c r="AB369" t="str">
        <f>HYPERLINK("Melting_Curves/meltCurve_F8VWT8_BRF1.pdf", "Melting_Curves/meltCurve_F8VWT8_BRF1.pdf")</f>
        <v>Melting_Curves/meltCurve_F8VWT8_BRF1.pdf</v>
      </c>
    </row>
    <row r="370" spans="1:28" x14ac:dyDescent="0.25">
      <c r="A370" t="s">
        <v>374</v>
      </c>
      <c r="B370">
        <v>1</v>
      </c>
      <c r="C370">
        <v>1.07377141659817</v>
      </c>
      <c r="D370">
        <v>1.4915784214173999</v>
      </c>
      <c r="E370">
        <v>1.7900488370968499</v>
      </c>
      <c r="F370">
        <v>1.14302983414728</v>
      </c>
      <c r="G370">
        <v>1.40673403929533</v>
      </c>
      <c r="H370">
        <v>0.98206082878003997</v>
      </c>
      <c r="I370">
        <v>1.53464532662831</v>
      </c>
      <c r="J370">
        <v>1.4468997308318401</v>
      </c>
      <c r="K370">
        <v>1.3850716438599</v>
      </c>
      <c r="L370">
        <v>10788.447331998401</v>
      </c>
      <c r="M370">
        <v>250</v>
      </c>
      <c r="O370">
        <v>43.151039018478201</v>
      </c>
      <c r="P370">
        <v>0.57575191137883097</v>
      </c>
      <c r="Q370">
        <v>1.39750858743579</v>
      </c>
      <c r="R370">
        <v>0.33323822473030401</v>
      </c>
      <c r="S370" t="s">
        <v>2244</v>
      </c>
      <c r="T370" t="s">
        <v>3746</v>
      </c>
      <c r="U370" t="s">
        <v>3746</v>
      </c>
      <c r="V370" t="s">
        <v>3746</v>
      </c>
      <c r="W370" t="s">
        <v>4111</v>
      </c>
      <c r="X370">
        <v>2</v>
      </c>
      <c r="Y370" t="s">
        <v>5970</v>
      </c>
      <c r="Z370" t="s">
        <v>7758</v>
      </c>
      <c r="AA370">
        <v>1.3556898710628109</v>
      </c>
      <c r="AB370" t="str">
        <f>HYPERLINK("Melting_Curves/meltCurve_F8VXU5_VPS29.pdf", "Melting_Curves/meltCurve_F8VXU5_VPS29.pdf")</f>
        <v>Melting_Curves/meltCurve_F8VXU5_VPS29.pdf</v>
      </c>
    </row>
    <row r="371" spans="1:28" x14ac:dyDescent="0.25">
      <c r="A371" t="s">
        <v>375</v>
      </c>
      <c r="B371">
        <v>1</v>
      </c>
      <c r="C371">
        <v>1.0982038213088401</v>
      </c>
      <c r="D371">
        <v>1.73226307612636</v>
      </c>
      <c r="E371">
        <v>2.1959170323530199</v>
      </c>
      <c r="F371">
        <v>1.6008885497015499</v>
      </c>
      <c r="G371">
        <v>1.8824715854888401</v>
      </c>
      <c r="H371">
        <v>0.90825588050914396</v>
      </c>
      <c r="I371">
        <v>1.64245414156832</v>
      </c>
      <c r="J371">
        <v>1.4143476246286399</v>
      </c>
      <c r="K371">
        <v>1.2472675733871199</v>
      </c>
      <c r="L371">
        <v>10785.4416682028</v>
      </c>
      <c r="M371">
        <v>250</v>
      </c>
      <c r="O371">
        <v>43.138982438675797</v>
      </c>
      <c r="P371">
        <v>0.72440241147224305</v>
      </c>
      <c r="Q371">
        <v>1.5</v>
      </c>
      <c r="R371">
        <v>0.26213772519286199</v>
      </c>
      <c r="S371" t="s">
        <v>2245</v>
      </c>
      <c r="T371" t="s">
        <v>3746</v>
      </c>
      <c r="U371" t="s">
        <v>3746</v>
      </c>
      <c r="V371" t="s">
        <v>3746</v>
      </c>
      <c r="W371" t="s">
        <v>4112</v>
      </c>
      <c r="X371">
        <v>2</v>
      </c>
      <c r="Y371" t="s">
        <v>5971</v>
      </c>
      <c r="Z371" t="s">
        <v>7759</v>
      </c>
      <c r="AA371">
        <v>1.447599365547902</v>
      </c>
      <c r="AB371" t="str">
        <f>HYPERLINK("Melting_Curves/meltCurve_F8VYK9_IGFBP6.pdf", "Melting_Curves/meltCurve_F8VYK9_IGFBP6.pdf")</f>
        <v>Melting_Curves/meltCurve_F8VYK9_IGFBP6.pdf</v>
      </c>
    </row>
    <row r="372" spans="1:28" x14ac:dyDescent="0.25">
      <c r="A372" t="s">
        <v>376</v>
      </c>
      <c r="B372">
        <v>1</v>
      </c>
      <c r="C372">
        <v>0.89024800807990101</v>
      </c>
      <c r="D372">
        <v>1.4521752141547899</v>
      </c>
      <c r="E372">
        <v>2.2777091983690601</v>
      </c>
      <c r="F372">
        <v>1.5014401675831399</v>
      </c>
      <c r="G372">
        <v>1.9222683574608199</v>
      </c>
      <c r="H372">
        <v>1.5150937044102799</v>
      </c>
      <c r="I372">
        <v>2.2047282385067102</v>
      </c>
      <c r="J372">
        <v>2.3595556054314901</v>
      </c>
      <c r="K372">
        <v>2.2370104365391099</v>
      </c>
      <c r="L372">
        <v>11396.660044774801</v>
      </c>
      <c r="M372">
        <v>250</v>
      </c>
      <c r="O372">
        <v>45.5837104117509</v>
      </c>
      <c r="P372">
        <v>0.68555172738401504</v>
      </c>
      <c r="Q372">
        <v>1.5</v>
      </c>
      <c r="R372">
        <v>2.09091143326838E-2</v>
      </c>
      <c r="S372" t="s">
        <v>2246</v>
      </c>
      <c r="T372" t="s">
        <v>3746</v>
      </c>
      <c r="U372" t="s">
        <v>3746</v>
      </c>
      <c r="V372" t="s">
        <v>3746</v>
      </c>
      <c r="W372" t="s">
        <v>4113</v>
      </c>
      <c r="X372">
        <v>1</v>
      </c>
      <c r="Y372" t="s">
        <v>5972</v>
      </c>
      <c r="Z372" t="s">
        <v>7760</v>
      </c>
      <c r="AA372">
        <v>1.406849328426331</v>
      </c>
      <c r="AB372" t="str">
        <f>HYPERLINK("Melting_Curves/meltCurve_F8VYZ3_SDSL.pdf", "Melting_Curves/meltCurve_F8VYZ3_SDSL.pdf")</f>
        <v>Melting_Curves/meltCurve_F8VYZ3_SDSL.pdf</v>
      </c>
    </row>
    <row r="373" spans="1:28" x14ac:dyDescent="0.25">
      <c r="A373" t="s">
        <v>377</v>
      </c>
      <c r="B373">
        <v>1</v>
      </c>
      <c r="C373">
        <v>1.07257359370446</v>
      </c>
      <c r="D373">
        <v>1.33226464587584</v>
      </c>
      <c r="E373">
        <v>1.5169532692120899</v>
      </c>
      <c r="F373">
        <v>1.12076168269698</v>
      </c>
      <c r="G373">
        <v>1.2722238414456399</v>
      </c>
      <c r="H373">
        <v>0.79466627805304602</v>
      </c>
      <c r="I373">
        <v>1.1903235208394101</v>
      </c>
      <c r="J373">
        <v>1.26202273389682</v>
      </c>
      <c r="K373">
        <v>1.1850772369571601</v>
      </c>
      <c r="L373">
        <v>10752.1678058585</v>
      </c>
      <c r="M373">
        <v>250</v>
      </c>
      <c r="O373">
        <v>43.005927501617499</v>
      </c>
      <c r="P373">
        <v>0.30415384580840699</v>
      </c>
      <c r="Q373">
        <v>1.2092866501605399</v>
      </c>
      <c r="R373">
        <v>0.145281688478372</v>
      </c>
      <c r="S373" t="s">
        <v>2247</v>
      </c>
      <c r="T373" t="s">
        <v>3746</v>
      </c>
      <c r="U373" t="s">
        <v>3746</v>
      </c>
      <c r="V373" t="s">
        <v>3746</v>
      </c>
      <c r="W373" t="s">
        <v>4114</v>
      </c>
      <c r="X373">
        <v>2</v>
      </c>
      <c r="Y373" t="s">
        <v>5973</v>
      </c>
      <c r="Z373" t="s">
        <v>7761</v>
      </c>
      <c r="AA373">
        <v>1.188281695898731</v>
      </c>
      <c r="AB373" t="str">
        <f>HYPERLINK("Melting_Curves/meltCurve_F8VZJ2_NACA.pdf", "Melting_Curves/meltCurve_F8VZJ2_NACA.pdf")</f>
        <v>Melting_Curves/meltCurve_F8VZJ2_NACA.pdf</v>
      </c>
    </row>
    <row r="374" spans="1:28" x14ac:dyDescent="0.25">
      <c r="A374" t="s">
        <v>378</v>
      </c>
      <c r="B374">
        <v>1</v>
      </c>
      <c r="C374">
        <v>1.30330748013862</v>
      </c>
      <c r="D374">
        <v>1.81977415780664</v>
      </c>
      <c r="E374">
        <v>3.07786605059054</v>
      </c>
      <c r="F374">
        <v>1.9841108937032901</v>
      </c>
      <c r="G374">
        <v>2.3472029043589</v>
      </c>
      <c r="H374">
        <v>1.38758575166788</v>
      </c>
      <c r="I374">
        <v>2.0362809118555401</v>
      </c>
      <c r="J374">
        <v>2.1371555199321102</v>
      </c>
      <c r="K374">
        <v>1.9933048869610299</v>
      </c>
      <c r="L374">
        <v>10706.4197647403</v>
      </c>
      <c r="M374">
        <v>250</v>
      </c>
      <c r="O374">
        <v>42.822937746837297</v>
      </c>
      <c r="P374">
        <v>0.72974908148346196</v>
      </c>
      <c r="Q374">
        <v>1.5</v>
      </c>
      <c r="R374">
        <v>-0.44383712465835301</v>
      </c>
      <c r="S374" t="s">
        <v>2248</v>
      </c>
      <c r="T374" t="s">
        <v>3746</v>
      </c>
      <c r="U374" t="s">
        <v>3746</v>
      </c>
      <c r="V374" t="s">
        <v>3746</v>
      </c>
      <c r="W374" t="s">
        <v>4115</v>
      </c>
      <c r="X374">
        <v>7</v>
      </c>
      <c r="Y374" t="s">
        <v>5974</v>
      </c>
      <c r="Z374" t="s">
        <v>7762</v>
      </c>
      <c r="AA374">
        <v>1.452867769764322</v>
      </c>
      <c r="AB374" t="str">
        <f>HYPERLINK("Melting_Curves/meltCurve_F8VZY9_KRT18.pdf", "Melting_Curves/meltCurve_F8VZY9_KRT18.pdf")</f>
        <v>Melting_Curves/meltCurve_F8VZY9_KRT18.pdf</v>
      </c>
    </row>
    <row r="375" spans="1:28" x14ac:dyDescent="0.25">
      <c r="A375" t="s">
        <v>379</v>
      </c>
      <c r="B375">
        <v>1</v>
      </c>
      <c r="C375">
        <v>1.12079572780363</v>
      </c>
      <c r="D375">
        <v>1.20801973704756</v>
      </c>
      <c r="E375">
        <v>1.6354579807001699</v>
      </c>
      <c r="F375">
        <v>1.0464382748821099</v>
      </c>
      <c r="G375">
        <v>1.2437150619905699</v>
      </c>
      <c r="H375">
        <v>1.2457762093626099</v>
      </c>
      <c r="I375">
        <v>1.4308422597670301</v>
      </c>
      <c r="J375">
        <v>1.37391087099091</v>
      </c>
      <c r="K375">
        <v>1.22079260485307</v>
      </c>
      <c r="L375">
        <v>1549.30617415336</v>
      </c>
      <c r="M375">
        <v>35.423844714631997</v>
      </c>
      <c r="O375">
        <v>43.597574263338103</v>
      </c>
      <c r="P375">
        <v>6.2602991562819593E-2</v>
      </c>
      <c r="Q375">
        <v>1.30819119673221</v>
      </c>
      <c r="R375">
        <v>0.32446263435395001</v>
      </c>
      <c r="S375" t="s">
        <v>2249</v>
      </c>
      <c r="T375" t="s">
        <v>3746</v>
      </c>
      <c r="U375" t="s">
        <v>3746</v>
      </c>
      <c r="V375" t="s">
        <v>3746</v>
      </c>
      <c r="W375" t="s">
        <v>4116</v>
      </c>
      <c r="X375">
        <v>6</v>
      </c>
      <c r="Y375" t="s">
        <v>5975</v>
      </c>
      <c r="Z375" t="s">
        <v>7763</v>
      </c>
      <c r="AA375">
        <v>1.2682548370634441</v>
      </c>
      <c r="AB375" t="str">
        <f>HYPERLINK("Melting_Curves/meltCurve_F8W181_RPL6.pdf", "Melting_Curves/meltCurve_F8W181_RPL6.pdf")</f>
        <v>Melting_Curves/meltCurve_F8W181_RPL6.pdf</v>
      </c>
    </row>
    <row r="376" spans="1:28" x14ac:dyDescent="0.25">
      <c r="A376" t="s">
        <v>380</v>
      </c>
      <c r="B376">
        <v>1</v>
      </c>
      <c r="C376">
        <v>1.0980366144866001</v>
      </c>
      <c r="D376">
        <v>1.5066993897585601</v>
      </c>
      <c r="E376">
        <v>1.8313876359777099</v>
      </c>
      <c r="F376">
        <v>1.4369196073229</v>
      </c>
      <c r="G376">
        <v>1.6075218890952501</v>
      </c>
      <c r="H376">
        <v>0.79623242239320802</v>
      </c>
      <c r="I376">
        <v>1.41940833112231</v>
      </c>
      <c r="J376">
        <v>1.3788803396126299</v>
      </c>
      <c r="K376">
        <v>1.2641947466171399</v>
      </c>
      <c r="L376">
        <v>10773.9872131336</v>
      </c>
      <c r="M376">
        <v>250</v>
      </c>
      <c r="O376">
        <v>43.093191024258701</v>
      </c>
      <c r="P376">
        <v>0.58761537980892498</v>
      </c>
      <c r="Q376">
        <v>1.4051555482493701</v>
      </c>
      <c r="R376">
        <v>0.24931644573681799</v>
      </c>
      <c r="S376" t="s">
        <v>2250</v>
      </c>
      <c r="T376" t="s">
        <v>3746</v>
      </c>
      <c r="U376" t="s">
        <v>3746</v>
      </c>
      <c r="V376" t="s">
        <v>3746</v>
      </c>
      <c r="W376" t="s">
        <v>4117</v>
      </c>
      <c r="X376">
        <v>7</v>
      </c>
      <c r="Y376" t="s">
        <v>5976</v>
      </c>
      <c r="Z376" t="s">
        <v>7764</v>
      </c>
      <c r="AA376">
        <v>1.3633135434022139</v>
      </c>
      <c r="AB376" t="str">
        <f>HYPERLINK("Melting_Curves/meltCurve_F8W1Q3_BTD.pdf", "Melting_Curves/meltCurve_F8W1Q3_BTD.pdf")</f>
        <v>Melting_Curves/meltCurve_F8W1Q3_BTD.pdf</v>
      </c>
    </row>
    <row r="377" spans="1:28" x14ac:dyDescent="0.25">
      <c r="A377" t="s">
        <v>381</v>
      </c>
      <c r="B377">
        <v>1</v>
      </c>
      <c r="C377">
        <v>1.03776419028769</v>
      </c>
      <c r="D377">
        <v>1.52055206050753</v>
      </c>
      <c r="E377">
        <v>2.3326500318088601</v>
      </c>
      <c r="F377">
        <v>1.7087721778468901</v>
      </c>
      <c r="G377">
        <v>2.0147381070191601</v>
      </c>
      <c r="H377">
        <v>1.4015869088852799</v>
      </c>
      <c r="I377">
        <v>2.03930161871775</v>
      </c>
      <c r="J377">
        <v>2.1198840743620599</v>
      </c>
      <c r="K377">
        <v>1.9209019580122999</v>
      </c>
      <c r="L377">
        <v>10832.4520566883</v>
      </c>
      <c r="M377">
        <v>250</v>
      </c>
      <c r="O377">
        <v>43.327036032915899</v>
      </c>
      <c r="P377">
        <v>0.72125867240606001</v>
      </c>
      <c r="Q377">
        <v>1.5</v>
      </c>
      <c r="R377">
        <v>1.2855214515638799E-2</v>
      </c>
      <c r="S377" t="s">
        <v>2251</v>
      </c>
      <c r="T377" t="s">
        <v>3746</v>
      </c>
      <c r="U377" t="s">
        <v>3746</v>
      </c>
      <c r="V377" t="s">
        <v>3746</v>
      </c>
      <c r="W377" t="s">
        <v>4118</v>
      </c>
      <c r="X377">
        <v>4</v>
      </c>
      <c r="Y377" t="s">
        <v>5977</v>
      </c>
      <c r="Z377" t="s">
        <v>7765</v>
      </c>
      <c r="AA377">
        <v>1.444465174649008</v>
      </c>
      <c r="AB377" t="str">
        <f>HYPERLINK("Melting_Curves/meltCurve_F8W1R7_MYL6.pdf", "Melting_Curves/meltCurve_F8W1R7_MYL6.pdf")</f>
        <v>Melting_Curves/meltCurve_F8W1R7_MYL6.pdf</v>
      </c>
    </row>
    <row r="378" spans="1:28" x14ac:dyDescent="0.25">
      <c r="A378" t="s">
        <v>382</v>
      </c>
      <c r="B378">
        <v>1</v>
      </c>
      <c r="C378">
        <v>1.6315364192543</v>
      </c>
      <c r="D378">
        <v>1.71638000692601</v>
      </c>
      <c r="E378">
        <v>1.89449382431029</v>
      </c>
      <c r="F378">
        <v>1.6530070414406099</v>
      </c>
      <c r="G378">
        <v>2.21378275424218</v>
      </c>
      <c r="H378">
        <v>0.86765554657739796</v>
      </c>
      <c r="I378">
        <v>2.4105967909500201</v>
      </c>
      <c r="J378">
        <v>1.17765208357382</v>
      </c>
      <c r="K378">
        <v>1.39189657162646</v>
      </c>
      <c r="L378">
        <v>10249.6098208067</v>
      </c>
      <c r="M378">
        <v>250</v>
      </c>
      <c r="O378">
        <v>40.995813427703901</v>
      </c>
      <c r="P378">
        <v>0.76227291824424304</v>
      </c>
      <c r="Q378">
        <v>1.5</v>
      </c>
      <c r="R378">
        <v>7.0227394366591006E-2</v>
      </c>
      <c r="S378" t="s">
        <v>2252</v>
      </c>
      <c r="T378" t="s">
        <v>3746</v>
      </c>
      <c r="U378" t="s">
        <v>3746</v>
      </c>
      <c r="V378" t="s">
        <v>3746</v>
      </c>
      <c r="W378" t="s">
        <v>4119</v>
      </c>
      <c r="X378">
        <v>2</v>
      </c>
      <c r="Y378" t="s">
        <v>5978</v>
      </c>
      <c r="Z378" t="s">
        <v>7766</v>
      </c>
      <c r="AA378">
        <v>1.483318341772788</v>
      </c>
      <c r="AB378" t="str">
        <f>HYPERLINK("Melting_Curves/meltCurve_F8W785_GOLIM4.pdf", "Melting_Curves/meltCurve_F8W785_GOLIM4.pdf")</f>
        <v>Melting_Curves/meltCurve_F8W785_GOLIM4.pdf</v>
      </c>
    </row>
    <row r="379" spans="1:28" x14ac:dyDescent="0.25">
      <c r="A379" t="s">
        <v>383</v>
      </c>
      <c r="B379">
        <v>1</v>
      </c>
      <c r="C379">
        <v>1.0857811723470501</v>
      </c>
      <c r="D379">
        <v>1.6245978394496601</v>
      </c>
      <c r="E379">
        <v>2.9092882739138402</v>
      </c>
      <c r="F379">
        <v>2.16225052967487</v>
      </c>
      <c r="G379">
        <v>2.24307499149905</v>
      </c>
      <c r="H379">
        <v>1.3121550574141401</v>
      </c>
      <c r="I379">
        <v>2.2086788208521901</v>
      </c>
      <c r="J379">
        <v>2.2851874133556498</v>
      </c>
      <c r="K379">
        <v>2.0185190029034001</v>
      </c>
      <c r="L379">
        <v>10792.550019976101</v>
      </c>
      <c r="M379">
        <v>250</v>
      </c>
      <c r="O379">
        <v>43.167437143441198</v>
      </c>
      <c r="P379">
        <v>0.72392529799402905</v>
      </c>
      <c r="Q379">
        <v>1.5</v>
      </c>
      <c r="R379">
        <v>-0.31604598457288702</v>
      </c>
      <c r="S379" t="s">
        <v>2253</v>
      </c>
      <c r="T379" t="s">
        <v>3746</v>
      </c>
      <c r="U379" t="s">
        <v>3746</v>
      </c>
      <c r="V379" t="s">
        <v>3746</v>
      </c>
      <c r="W379" t="s">
        <v>4120</v>
      </c>
      <c r="X379">
        <v>6</v>
      </c>
      <c r="Y379" t="s">
        <v>5979</v>
      </c>
      <c r="Z379" t="s">
        <v>7767</v>
      </c>
      <c r="AA379">
        <v>1.447125450480871</v>
      </c>
      <c r="AB379" t="str">
        <f>HYPERLINK("Melting_Curves/meltCurve_F8W7D6_GPHN.pdf", "Melting_Curves/meltCurve_F8W7D6_GPHN.pdf")</f>
        <v>Melting_Curves/meltCurve_F8W7D6_GPHN.pdf</v>
      </c>
    </row>
    <row r="380" spans="1:28" x14ac:dyDescent="0.25">
      <c r="A380" t="s">
        <v>384</v>
      </c>
      <c r="B380">
        <v>1</v>
      </c>
      <c r="C380">
        <v>1.1919337414476101</v>
      </c>
      <c r="D380">
        <v>1.762806085704</v>
      </c>
      <c r="E380">
        <v>2.3382922218221101</v>
      </c>
      <c r="F380">
        <v>1.7495273676629499</v>
      </c>
      <c r="G380">
        <v>1.5905203456968</v>
      </c>
      <c r="H380">
        <v>1.12722812387468</v>
      </c>
      <c r="I380">
        <v>1.75717951026287</v>
      </c>
      <c r="J380">
        <v>1.84754231184732</v>
      </c>
      <c r="K380">
        <v>1.57994238386748</v>
      </c>
      <c r="L380">
        <v>10745.2987361533</v>
      </c>
      <c r="M380">
        <v>250</v>
      </c>
      <c r="O380">
        <v>42.978444376132302</v>
      </c>
      <c r="P380">
        <v>0.72710868084537195</v>
      </c>
      <c r="Q380">
        <v>1.5</v>
      </c>
      <c r="R380">
        <v>0.178728690498309</v>
      </c>
      <c r="S380" t="s">
        <v>2254</v>
      </c>
      <c r="T380" t="s">
        <v>3746</v>
      </c>
      <c r="U380" t="s">
        <v>3746</v>
      </c>
      <c r="V380" t="s">
        <v>3746</v>
      </c>
      <c r="W380" t="s">
        <v>4121</v>
      </c>
      <c r="X380">
        <v>6</v>
      </c>
      <c r="Y380" t="s">
        <v>5980</v>
      </c>
      <c r="Z380" t="s">
        <v>7768</v>
      </c>
      <c r="AA380">
        <v>1.4502757019057511</v>
      </c>
      <c r="AB380" t="str">
        <f>HYPERLINK("Melting_Curves/meltCurve_F8W7M9_FBLN1.pdf", "Melting_Curves/meltCurve_F8W7M9_FBLN1.pdf")</f>
        <v>Melting_Curves/meltCurve_F8W7M9_FBLN1.pdf</v>
      </c>
    </row>
    <row r="381" spans="1:28" x14ac:dyDescent="0.25">
      <c r="A381" t="s">
        <v>385</v>
      </c>
      <c r="B381">
        <v>1</v>
      </c>
      <c r="C381">
        <v>1.06695048400993</v>
      </c>
      <c r="D381">
        <v>1.6781207237342299</v>
      </c>
      <c r="E381">
        <v>2.4547666109168298</v>
      </c>
      <c r="F381">
        <v>2.07683340935584</v>
      </c>
      <c r="G381">
        <v>2.3111347625563798</v>
      </c>
      <c r="H381">
        <v>1.4441741422127601</v>
      </c>
      <c r="I381">
        <v>2.3217779129288898</v>
      </c>
      <c r="J381">
        <v>2.02615174091531</v>
      </c>
      <c r="K381">
        <v>2.0134306421367398</v>
      </c>
      <c r="L381">
        <v>10805.089672547299</v>
      </c>
      <c r="M381">
        <v>250</v>
      </c>
      <c r="O381">
        <v>43.217592884363199</v>
      </c>
      <c r="P381">
        <v>0.72308515950448404</v>
      </c>
      <c r="Q381">
        <v>1.5</v>
      </c>
      <c r="R381">
        <v>-0.29272951556398003</v>
      </c>
      <c r="S381" t="s">
        <v>2255</v>
      </c>
      <c r="T381" t="s">
        <v>3746</v>
      </c>
      <c r="U381" t="s">
        <v>3746</v>
      </c>
      <c r="V381" t="s">
        <v>3746</v>
      </c>
      <c r="W381" t="s">
        <v>4122</v>
      </c>
      <c r="X381">
        <v>5</v>
      </c>
      <c r="Y381" t="s">
        <v>5981</v>
      </c>
      <c r="Z381" t="s">
        <v>7769</v>
      </c>
      <c r="AA381">
        <v>1.446289429630645</v>
      </c>
      <c r="AB381" t="str">
        <f>HYPERLINK("Melting_Curves/meltCurve_F8W8D8_PLS3.pdf", "Melting_Curves/meltCurve_F8W8D8_PLS3.pdf")</f>
        <v>Melting_Curves/meltCurve_F8W8D8_PLS3.pdf</v>
      </c>
    </row>
    <row r="382" spans="1:28" x14ac:dyDescent="0.25">
      <c r="A382" t="s">
        <v>386</v>
      </c>
      <c r="B382">
        <v>1</v>
      </c>
      <c r="C382">
        <v>1.2493534681814</v>
      </c>
      <c r="D382">
        <v>1.74457375080816</v>
      </c>
      <c r="E382">
        <v>2.2830654844370599</v>
      </c>
      <c r="F382">
        <v>1.4647871063083</v>
      </c>
      <c r="G382">
        <v>1.2529786644499901</v>
      </c>
      <c r="H382">
        <v>1.3827930174563601</v>
      </c>
      <c r="I382">
        <v>1.5589036667590299</v>
      </c>
      <c r="J382">
        <v>2.03068717096148</v>
      </c>
      <c r="K382">
        <v>2.19933961392814</v>
      </c>
      <c r="L382">
        <v>10725.2218750456</v>
      </c>
      <c r="M382">
        <v>250</v>
      </c>
      <c r="O382">
        <v>42.898156828322698</v>
      </c>
      <c r="P382">
        <v>0.72846977582732497</v>
      </c>
      <c r="Q382">
        <v>1.5</v>
      </c>
      <c r="R382">
        <v>0.103977897976796</v>
      </c>
      <c r="S382" t="s">
        <v>2256</v>
      </c>
      <c r="T382" t="s">
        <v>3746</v>
      </c>
      <c r="U382" t="s">
        <v>3746</v>
      </c>
      <c r="V382" t="s">
        <v>3746</v>
      </c>
      <c r="W382" t="s">
        <v>4123</v>
      </c>
      <c r="X382">
        <v>2</v>
      </c>
      <c r="Y382" t="s">
        <v>5982</v>
      </c>
      <c r="Z382" t="s">
        <v>7770</v>
      </c>
      <c r="AA382">
        <v>1.451614229769034</v>
      </c>
      <c r="AB382" t="str">
        <f>HYPERLINK("Melting_Curves/meltCurve_F8W8S0_DYNC1I2.pdf", "Melting_Curves/meltCurve_F8W8S0_DYNC1I2.pdf")</f>
        <v>Melting_Curves/meltCurve_F8W8S0_DYNC1I2.pdf</v>
      </c>
    </row>
    <row r="383" spans="1:28" x14ac:dyDescent="0.25">
      <c r="A383" t="s">
        <v>387</v>
      </c>
      <c r="B383">
        <v>1</v>
      </c>
      <c r="C383">
        <v>0.93395326192794603</v>
      </c>
      <c r="D383">
        <v>1.1875365141187899</v>
      </c>
      <c r="E383">
        <v>1.33437195715677</v>
      </c>
      <c r="F383">
        <v>0.99493670886075902</v>
      </c>
      <c r="G383">
        <v>1.04508276533593</v>
      </c>
      <c r="H383">
        <v>0.92579357351509295</v>
      </c>
      <c r="I383">
        <v>1.31480038948393</v>
      </c>
      <c r="J383">
        <v>1.3094449853943499</v>
      </c>
      <c r="K383">
        <v>1.29123661148978</v>
      </c>
      <c r="L383">
        <v>289.12083772328498</v>
      </c>
      <c r="M383">
        <v>4.1473091051761797</v>
      </c>
      <c r="O383">
        <v>57.876589133082902</v>
      </c>
      <c r="P383">
        <v>9.0596751063886493E-3</v>
      </c>
      <c r="Q383">
        <v>1.5</v>
      </c>
      <c r="R383">
        <v>0.236258860397175</v>
      </c>
      <c r="S383" t="s">
        <v>2257</v>
      </c>
      <c r="T383" t="s">
        <v>3746</v>
      </c>
      <c r="U383" t="s">
        <v>3746</v>
      </c>
      <c r="V383" t="s">
        <v>3746</v>
      </c>
      <c r="W383" t="s">
        <v>4124</v>
      </c>
      <c r="X383">
        <v>5</v>
      </c>
      <c r="Y383" t="s">
        <v>5983</v>
      </c>
      <c r="Z383" t="s">
        <v>7771</v>
      </c>
      <c r="AA383">
        <v>1.1282307958838711</v>
      </c>
      <c r="AB383" t="str">
        <f>HYPERLINK("Melting_Curves/meltCurve_F8W8T8_ACACB.pdf", "Melting_Curves/meltCurve_F8W8T8_ACACB.pdf")</f>
        <v>Melting_Curves/meltCurve_F8W8T8_ACACB.pdf</v>
      </c>
    </row>
    <row r="384" spans="1:28" x14ac:dyDescent="0.25">
      <c r="A384" t="s">
        <v>388</v>
      </c>
      <c r="B384">
        <v>1</v>
      </c>
      <c r="C384">
        <v>1.0565938663997501</v>
      </c>
      <c r="D384">
        <v>1.1525687937909199</v>
      </c>
      <c r="E384">
        <v>1.3700178855652001</v>
      </c>
      <c r="F384">
        <v>0.98598690579722004</v>
      </c>
      <c r="G384">
        <v>1.16677879329866</v>
      </c>
      <c r="H384">
        <v>0.54944784470734898</v>
      </c>
      <c r="I384">
        <v>1.0716735310043799</v>
      </c>
      <c r="J384">
        <v>0.960159493297015</v>
      </c>
      <c r="K384">
        <v>1.02512183515744</v>
      </c>
      <c r="L384">
        <v>10239.809168182999</v>
      </c>
      <c r="M384">
        <v>250</v>
      </c>
      <c r="O384">
        <v>40.956615567373298</v>
      </c>
      <c r="P384">
        <v>5.7369131254437399E-2</v>
      </c>
      <c r="Q384">
        <v>1.0375943272105399</v>
      </c>
      <c r="R384">
        <v>3.2588846335717099E-3</v>
      </c>
      <c r="S384" t="s">
        <v>2258</v>
      </c>
      <c r="T384" t="s">
        <v>3746</v>
      </c>
      <c r="U384" t="s">
        <v>3746</v>
      </c>
      <c r="V384" t="s">
        <v>3746</v>
      </c>
      <c r="W384" t="s">
        <v>4125</v>
      </c>
      <c r="X384">
        <v>2</v>
      </c>
      <c r="Y384" t="s">
        <v>5984</v>
      </c>
      <c r="Z384" t="s">
        <v>7772</v>
      </c>
      <c r="AA384">
        <v>1.036389079603466</v>
      </c>
      <c r="AB384" t="str">
        <f>HYPERLINK("Melting_Curves/meltCurve_F8W914_RTN4.pdf", "Melting_Curves/meltCurve_F8W914_RTN4.pdf")</f>
        <v>Melting_Curves/meltCurve_F8W914_RTN4.pdf</v>
      </c>
    </row>
    <row r="385" spans="1:28" x14ac:dyDescent="0.25">
      <c r="A385" t="s">
        <v>389</v>
      </c>
      <c r="B385">
        <v>1</v>
      </c>
      <c r="C385">
        <v>1.53685932572142</v>
      </c>
      <c r="D385">
        <v>1.4671209080329899</v>
      </c>
      <c r="E385">
        <v>2.2570961158990102</v>
      </c>
      <c r="F385">
        <v>1.5835764761439</v>
      </c>
      <c r="G385">
        <v>1.34695495252391</v>
      </c>
      <c r="H385">
        <v>0.99821226788996997</v>
      </c>
      <c r="I385">
        <v>1.8852141062182699</v>
      </c>
      <c r="J385">
        <v>1.3248106859157101</v>
      </c>
      <c r="K385">
        <v>1.7956588467441399</v>
      </c>
      <c r="L385">
        <v>10266.708440739099</v>
      </c>
      <c r="M385">
        <v>250</v>
      </c>
      <c r="O385">
        <v>41.064205586359598</v>
      </c>
      <c r="P385">
        <v>0.76100339601826195</v>
      </c>
      <c r="Q385">
        <v>1.5</v>
      </c>
      <c r="R385">
        <v>0.179624579389385</v>
      </c>
      <c r="S385" t="s">
        <v>2259</v>
      </c>
      <c r="T385" t="s">
        <v>3746</v>
      </c>
      <c r="U385" t="s">
        <v>3746</v>
      </c>
      <c r="V385" t="s">
        <v>3746</v>
      </c>
      <c r="W385" t="s">
        <v>4126</v>
      </c>
      <c r="X385">
        <v>1</v>
      </c>
      <c r="Y385" t="s">
        <v>5985</v>
      </c>
      <c r="Z385" t="s">
        <v>7773</v>
      </c>
      <c r="AA385">
        <v>1.4821801269017489</v>
      </c>
      <c r="AB385" t="str">
        <f>HYPERLINK("Melting_Curves/meltCurve_F8W9L1_SERPINB4.pdf", "Melting_Curves/meltCurve_F8W9L1_SERPINB4.pdf")</f>
        <v>Melting_Curves/meltCurve_F8W9L1_SERPINB4.pdf</v>
      </c>
    </row>
    <row r="386" spans="1:28" x14ac:dyDescent="0.25">
      <c r="A386" t="s">
        <v>390</v>
      </c>
      <c r="B386">
        <v>1</v>
      </c>
      <c r="C386">
        <v>1.0795660036166399</v>
      </c>
      <c r="D386">
        <v>1.31170886075949</v>
      </c>
      <c r="E386">
        <v>1.58288878842676</v>
      </c>
      <c r="F386">
        <v>1.18666365280289</v>
      </c>
      <c r="G386">
        <v>1.2331148282097599</v>
      </c>
      <c r="H386">
        <v>0.62879746835442996</v>
      </c>
      <c r="I386">
        <v>1.1018535262206099</v>
      </c>
      <c r="J386">
        <v>1.0733273056057899</v>
      </c>
      <c r="K386">
        <v>1.0003842676311001</v>
      </c>
      <c r="L386">
        <v>10713.0888965206</v>
      </c>
      <c r="M386">
        <v>250</v>
      </c>
      <c r="O386">
        <v>42.8496024203601</v>
      </c>
      <c r="P386">
        <v>0.203972574845566</v>
      </c>
      <c r="Q386">
        <v>1.1398423353365199</v>
      </c>
      <c r="R386">
        <v>3.5370225345291197E-2</v>
      </c>
      <c r="S386" t="s">
        <v>2260</v>
      </c>
      <c r="T386" t="s">
        <v>3746</v>
      </c>
      <c r="U386" t="s">
        <v>3746</v>
      </c>
      <c r="V386" t="s">
        <v>3746</v>
      </c>
      <c r="W386" t="s">
        <v>4127</v>
      </c>
      <c r="X386">
        <v>3</v>
      </c>
      <c r="Y386" t="s">
        <v>5986</v>
      </c>
      <c r="Z386" t="s">
        <v>7774</v>
      </c>
      <c r="AA386">
        <v>1.1265358162385539</v>
      </c>
      <c r="AB386" t="str">
        <f>HYPERLINK("Melting_Curves/meltCurve_F8W9Y0_STX3.pdf", "Melting_Curves/meltCurve_F8W9Y0_STX3.pdf")</f>
        <v>Melting_Curves/meltCurve_F8W9Y0_STX3.pdf</v>
      </c>
    </row>
    <row r="387" spans="1:28" x14ac:dyDescent="0.25">
      <c r="A387" t="s">
        <v>391</v>
      </c>
      <c r="B387">
        <v>1</v>
      </c>
      <c r="C387">
        <v>0.89109772423025402</v>
      </c>
      <c r="D387">
        <v>1.39625167336011</v>
      </c>
      <c r="E387">
        <v>1.7331994645247699</v>
      </c>
      <c r="F387">
        <v>1.6568273092369501</v>
      </c>
      <c r="G387">
        <v>3.00388219544846</v>
      </c>
      <c r="H387">
        <v>2.5743641231593002</v>
      </c>
      <c r="I387">
        <v>4.0038152610441804</v>
      </c>
      <c r="J387">
        <v>4.1964524765729596</v>
      </c>
      <c r="K387">
        <v>3.9574966532797902</v>
      </c>
      <c r="L387">
        <v>11438.3562735015</v>
      </c>
      <c r="M387">
        <v>250</v>
      </c>
      <c r="O387">
        <v>45.750497200756797</v>
      </c>
      <c r="P387">
        <v>0.683052687162232</v>
      </c>
      <c r="Q387">
        <v>1.5</v>
      </c>
      <c r="R387">
        <v>-0.55519106929284801</v>
      </c>
      <c r="S387" t="s">
        <v>2261</v>
      </c>
      <c r="T387" t="s">
        <v>3746</v>
      </c>
      <c r="U387" t="s">
        <v>3746</v>
      </c>
      <c r="V387" t="s">
        <v>3746</v>
      </c>
      <c r="W387" t="s">
        <v>4128</v>
      </c>
      <c r="X387">
        <v>1</v>
      </c>
      <c r="Y387" t="s">
        <v>5987</v>
      </c>
      <c r="Z387" t="s">
        <v>7775</v>
      </c>
      <c r="AA387">
        <v>1.4040694334920829</v>
      </c>
      <c r="AB387" t="str">
        <f>HYPERLINK("Melting_Curves/meltCurve_F8WB82_GALM.pdf", "Melting_Curves/meltCurve_F8WB82_GALM.pdf")</f>
        <v>Melting_Curves/meltCurve_F8WB82_GALM.pdf</v>
      </c>
    </row>
    <row r="388" spans="1:28" x14ac:dyDescent="0.25">
      <c r="A388" t="s">
        <v>392</v>
      </c>
      <c r="B388">
        <v>1</v>
      </c>
      <c r="C388">
        <v>1.0169778568101999</v>
      </c>
      <c r="D388">
        <v>1.1179135441805299</v>
      </c>
      <c r="E388">
        <v>1.45294042931538</v>
      </c>
      <c r="F388">
        <v>0.921588551589822</v>
      </c>
      <c r="G388">
        <v>1.07180659638427</v>
      </c>
      <c r="H388">
        <v>0.57470680384436301</v>
      </c>
      <c r="I388">
        <v>0.93213091155425698</v>
      </c>
      <c r="J388">
        <v>0.93488293323172</v>
      </c>
      <c r="K388">
        <v>0.861763834201279</v>
      </c>
      <c r="L388">
        <v>3061.5908660067298</v>
      </c>
      <c r="M388">
        <v>52.617812812405099</v>
      </c>
      <c r="O388">
        <v>58.101584221676603</v>
      </c>
      <c r="P388">
        <v>-3.4750792211516897E-2</v>
      </c>
      <c r="Q388">
        <v>0.84651018032404202</v>
      </c>
      <c r="R388">
        <v>0.23890667677265401</v>
      </c>
      <c r="S388" t="s">
        <v>2262</v>
      </c>
      <c r="T388" t="s">
        <v>3746</v>
      </c>
      <c r="U388" t="s">
        <v>3746</v>
      </c>
      <c r="V388" t="s">
        <v>3746</v>
      </c>
      <c r="W388" t="s">
        <v>4129</v>
      </c>
      <c r="X388">
        <v>2</v>
      </c>
      <c r="Y388" t="s">
        <v>5988</v>
      </c>
      <c r="Z388" t="s">
        <v>7776</v>
      </c>
      <c r="AA388">
        <v>0.93990720317953147</v>
      </c>
      <c r="AB388" t="str">
        <f>HYPERLINK("Melting_Curves/meltCurve_F8WC54_ADAM9.pdf", "Melting_Curves/meltCurve_F8WC54_ADAM9.pdf")</f>
        <v>Melting_Curves/meltCurve_F8WC54_ADAM9.pdf</v>
      </c>
    </row>
    <row r="389" spans="1:28" x14ac:dyDescent="0.25">
      <c r="A389" t="s">
        <v>393</v>
      </c>
      <c r="B389">
        <v>1</v>
      </c>
      <c r="C389">
        <v>0.98118279569892497</v>
      </c>
      <c r="D389">
        <v>1.52083973374296</v>
      </c>
      <c r="E389">
        <v>2.0255760368663598</v>
      </c>
      <c r="F389">
        <v>1.62936507936508</v>
      </c>
      <c r="G389">
        <v>2.1299283154121902</v>
      </c>
      <c r="H389">
        <v>1.5758064516129</v>
      </c>
      <c r="I389">
        <v>2.3076548899129499</v>
      </c>
      <c r="J389">
        <v>2.4372503840245798</v>
      </c>
      <c r="K389">
        <v>2.2053763440860199</v>
      </c>
      <c r="L389">
        <v>11098.2724609588</v>
      </c>
      <c r="M389">
        <v>250</v>
      </c>
      <c r="O389">
        <v>44.390249046483497</v>
      </c>
      <c r="P389">
        <v>0.70398343677525399</v>
      </c>
      <c r="Q389">
        <v>1.5</v>
      </c>
      <c r="R389">
        <v>-0.111117113233846</v>
      </c>
      <c r="S389" t="s">
        <v>2263</v>
      </c>
      <c r="T389" t="s">
        <v>3746</v>
      </c>
      <c r="U389" t="s">
        <v>3746</v>
      </c>
      <c r="V389" t="s">
        <v>3746</v>
      </c>
      <c r="W389" t="s">
        <v>4130</v>
      </c>
      <c r="X389">
        <v>6</v>
      </c>
      <c r="Y389" t="s">
        <v>5989</v>
      </c>
      <c r="Z389" t="s">
        <v>7777</v>
      </c>
      <c r="AA389">
        <v>1.4267428813451939</v>
      </c>
      <c r="AB389" t="str">
        <f>HYPERLINK("Melting_Curves/meltCurve_F8WCF6_ARPC4.pdf", "Melting_Curves/meltCurve_F8WCF6_ARPC4.pdf")</f>
        <v>Melting_Curves/meltCurve_F8WCF6_ARPC4.pdf</v>
      </c>
    </row>
    <row r="390" spans="1:28" x14ac:dyDescent="0.25">
      <c r="A390" t="s">
        <v>394</v>
      </c>
      <c r="B390">
        <v>1</v>
      </c>
      <c r="C390">
        <v>0.95821665110903698</v>
      </c>
      <c r="D390">
        <v>1.45321598435347</v>
      </c>
      <c r="E390">
        <v>1.47601902475886</v>
      </c>
      <c r="F390">
        <v>1.0150242254522801</v>
      </c>
      <c r="G390">
        <v>1.07156509756856</v>
      </c>
      <c r="H390">
        <v>0.81010801440192004</v>
      </c>
      <c r="I390">
        <v>1.0950348935413601</v>
      </c>
      <c r="J390">
        <v>1.0807218740276501</v>
      </c>
      <c r="K390">
        <v>1.10463617371205</v>
      </c>
      <c r="L390">
        <v>15000</v>
      </c>
      <c r="M390">
        <v>238.06464661247901</v>
      </c>
      <c r="O390">
        <v>63.003635113947098</v>
      </c>
      <c r="P390">
        <v>8.8965705975333501E-2</v>
      </c>
      <c r="Q390">
        <v>1.0941788576067799</v>
      </c>
      <c r="R390">
        <v>-0.22440908236677401</v>
      </c>
      <c r="S390" t="s">
        <v>2264</v>
      </c>
      <c r="T390" t="s">
        <v>3746</v>
      </c>
      <c r="U390" t="s">
        <v>3746</v>
      </c>
      <c r="V390" t="s">
        <v>3746</v>
      </c>
      <c r="W390" t="s">
        <v>4131</v>
      </c>
      <c r="X390">
        <v>1</v>
      </c>
      <c r="Y390" t="s">
        <v>5990</v>
      </c>
      <c r="Z390" t="s">
        <v>7778</v>
      </c>
      <c r="AA390">
        <v>1.0219381676726049</v>
      </c>
      <c r="AB390" t="str">
        <f>HYPERLINK("Melting_Curves/meltCurve_F8WCQ2_SACM1L.pdf", "Melting_Curves/meltCurve_F8WCQ2_SACM1L.pdf")</f>
        <v>Melting_Curves/meltCurve_F8WCQ2_SACM1L.pdf</v>
      </c>
    </row>
    <row r="391" spans="1:28" x14ac:dyDescent="0.25">
      <c r="A391" t="s">
        <v>395</v>
      </c>
      <c r="B391">
        <v>1</v>
      </c>
      <c r="C391">
        <v>0.98426528377246703</v>
      </c>
      <c r="D391">
        <v>1.3316208207176401</v>
      </c>
      <c r="E391">
        <v>1.4996456870450301</v>
      </c>
      <c r="F391">
        <v>1.08687109450493</v>
      </c>
      <c r="G391">
        <v>1.1970463183663</v>
      </c>
      <c r="H391">
        <v>1.07255363009728</v>
      </c>
      <c r="I391">
        <v>1.2293049024028899</v>
      </c>
      <c r="J391">
        <v>1.43939637956581</v>
      </c>
      <c r="K391">
        <v>1.4420698318623999</v>
      </c>
      <c r="L391">
        <v>209.40867297053299</v>
      </c>
      <c r="M391">
        <v>3.7394839654044199</v>
      </c>
      <c r="O391">
        <v>44.958910234081699</v>
      </c>
      <c r="P391">
        <v>1.0562424251513E-2</v>
      </c>
      <c r="Q391">
        <v>1.5</v>
      </c>
      <c r="R391">
        <v>0.244593353507191</v>
      </c>
      <c r="S391" t="s">
        <v>2265</v>
      </c>
      <c r="T391" t="s">
        <v>3746</v>
      </c>
      <c r="U391" t="s">
        <v>3746</v>
      </c>
      <c r="V391" t="s">
        <v>3746</v>
      </c>
      <c r="W391" t="s">
        <v>4132</v>
      </c>
      <c r="X391">
        <v>2</v>
      </c>
      <c r="Y391" t="s">
        <v>5991</v>
      </c>
      <c r="Z391" t="s">
        <v>7779</v>
      </c>
      <c r="AA391">
        <v>1.2318925635548259</v>
      </c>
      <c r="AB391" t="str">
        <f>HYPERLINK("Melting_Curves/meltCurve_F8WDS9_LANCL1.pdf", "Melting_Curves/meltCurve_F8WDS9_LANCL1.pdf")</f>
        <v>Melting_Curves/meltCurve_F8WDS9_LANCL1.pdf</v>
      </c>
    </row>
    <row r="392" spans="1:28" x14ac:dyDescent="0.25">
      <c r="A392" t="s">
        <v>396</v>
      </c>
      <c r="B392">
        <v>1</v>
      </c>
      <c r="C392">
        <v>0.90074188408683498</v>
      </c>
      <c r="D392">
        <v>1.1234813782115101</v>
      </c>
      <c r="E392">
        <v>1.4131398127863</v>
      </c>
      <c r="F392">
        <v>0.98556064528978304</v>
      </c>
      <c r="G392">
        <v>1.0249203345947</v>
      </c>
      <c r="H392">
        <v>0.73202549292969499</v>
      </c>
      <c r="I392">
        <v>0.91348834893447495</v>
      </c>
      <c r="J392">
        <v>0.89148078072097203</v>
      </c>
      <c r="K392">
        <v>0.98272256522605095</v>
      </c>
      <c r="L392">
        <v>6514.4567142229098</v>
      </c>
      <c r="M392">
        <v>111.3512679462</v>
      </c>
      <c r="O392">
        <v>58.484775289298199</v>
      </c>
      <c r="P392">
        <v>-5.6958935275893102E-2</v>
      </c>
      <c r="Q392">
        <v>0.88033430817482805</v>
      </c>
      <c r="R392">
        <v>0.19750003844220601</v>
      </c>
      <c r="S392" t="s">
        <v>2266</v>
      </c>
      <c r="T392" t="s">
        <v>3746</v>
      </c>
      <c r="U392" t="s">
        <v>3746</v>
      </c>
      <c r="V392" t="s">
        <v>3746</v>
      </c>
      <c r="W392" t="s">
        <v>4133</v>
      </c>
      <c r="X392">
        <v>1</v>
      </c>
      <c r="Y392" t="s">
        <v>5992</v>
      </c>
      <c r="Z392" t="s">
        <v>7780</v>
      </c>
      <c r="AA392">
        <v>0.95420473797891281</v>
      </c>
      <c r="AB392" t="str">
        <f>HYPERLINK("Melting_Curves/meltCurve_F8WEF7_DMBT1.pdf", "Melting_Curves/meltCurve_F8WEF7_DMBT1.pdf")</f>
        <v>Melting_Curves/meltCurve_F8WEF7_DMBT1.pdf</v>
      </c>
    </row>
    <row r="393" spans="1:28" x14ac:dyDescent="0.25">
      <c r="A393" t="s">
        <v>397</v>
      </c>
      <c r="B393">
        <v>1</v>
      </c>
      <c r="C393">
        <v>1.01852763757233</v>
      </c>
      <c r="D393">
        <v>1.4127169764865199</v>
      </c>
      <c r="E393">
        <v>1.73802782223317</v>
      </c>
      <c r="F393">
        <v>1.7107903483934499</v>
      </c>
      <c r="G393">
        <v>1.73999753785547</v>
      </c>
      <c r="H393">
        <v>0.77699125938692604</v>
      </c>
      <c r="I393">
        <v>1.7931183060445599</v>
      </c>
      <c r="J393">
        <v>1.5260987319955699</v>
      </c>
      <c r="K393">
        <v>1.4185337929336499</v>
      </c>
      <c r="L393">
        <v>3382.1337768013</v>
      </c>
      <c r="M393">
        <v>75.107500928988401</v>
      </c>
      <c r="O393">
        <v>44.998680433078697</v>
      </c>
      <c r="P393">
        <v>0.208638101111142</v>
      </c>
      <c r="Q393">
        <v>1.5</v>
      </c>
      <c r="R393">
        <v>0.348446195328039</v>
      </c>
      <c r="S393" t="s">
        <v>2267</v>
      </c>
      <c r="T393" t="s">
        <v>3746</v>
      </c>
      <c r="U393" t="s">
        <v>3746</v>
      </c>
      <c r="V393" t="s">
        <v>3746</v>
      </c>
      <c r="W393" t="s">
        <v>4134</v>
      </c>
      <c r="X393">
        <v>1</v>
      </c>
      <c r="Y393" t="s">
        <v>5993</v>
      </c>
      <c r="Z393" t="s">
        <v>7781</v>
      </c>
      <c r="AA393">
        <v>1.415717744267339</v>
      </c>
      <c r="AB393" t="str">
        <f>HYPERLINK("Melting_Curves/meltCurve_F8WF57_SIRT2.pdf", "Melting_Curves/meltCurve_F8WF57_SIRT2.pdf")</f>
        <v>Melting_Curves/meltCurve_F8WF57_SIRT2.pdf</v>
      </c>
    </row>
    <row r="394" spans="1:28" x14ac:dyDescent="0.25">
      <c r="A394" t="s">
        <v>398</v>
      </c>
      <c r="B394">
        <v>1</v>
      </c>
      <c r="C394">
        <v>1.1854825221609</v>
      </c>
      <c r="D394">
        <v>1.6498857110999601</v>
      </c>
      <c r="E394">
        <v>2.1567709204437802</v>
      </c>
      <c r="F394">
        <v>1.12705580643363</v>
      </c>
      <c r="G394">
        <v>0.88821988069353897</v>
      </c>
      <c r="H394">
        <v>1.0457267101522001</v>
      </c>
      <c r="I394">
        <v>0.99341026927579901</v>
      </c>
      <c r="J394">
        <v>1.13408039248481</v>
      </c>
      <c r="K394">
        <v>1.2393376818866</v>
      </c>
      <c r="L394">
        <v>15000</v>
      </c>
      <c r="M394">
        <v>224.12248849241601</v>
      </c>
      <c r="O394">
        <v>66.922359792112402</v>
      </c>
      <c r="P394">
        <v>0.20039599296814301</v>
      </c>
      <c r="Q394">
        <v>1.2393507707469</v>
      </c>
      <c r="R394">
        <v>-0.388027658655274</v>
      </c>
      <c r="S394" t="s">
        <v>2268</v>
      </c>
      <c r="T394" t="s">
        <v>3746</v>
      </c>
      <c r="U394" t="s">
        <v>3746</v>
      </c>
      <c r="V394" t="s">
        <v>3746</v>
      </c>
      <c r="W394" t="s">
        <v>4135</v>
      </c>
      <c r="X394">
        <v>1</v>
      </c>
      <c r="Y394" t="s">
        <v>5994</v>
      </c>
      <c r="Z394" t="s">
        <v>7782</v>
      </c>
      <c r="AA394">
        <v>1.02447716605372</v>
      </c>
      <c r="AB394" t="str">
        <f>HYPERLINK("Melting_Curves/meltCurve_F8WF69_CLTA.pdf", "Melting_Curves/meltCurve_F8WF69_CLTA.pdf")</f>
        <v>Melting_Curves/meltCurve_F8WF69_CLTA.pdf</v>
      </c>
    </row>
    <row r="395" spans="1:28" x14ac:dyDescent="0.25">
      <c r="A395" t="s">
        <v>399</v>
      </c>
      <c r="B395">
        <v>1</v>
      </c>
      <c r="C395">
        <v>1.2531788286877501</v>
      </c>
      <c r="D395">
        <v>1.6373316630128401</v>
      </c>
      <c r="E395">
        <v>2.4296273097400598</v>
      </c>
      <c r="F395">
        <v>1.8016911994989</v>
      </c>
      <c r="G395">
        <v>2.3386783589101201</v>
      </c>
      <c r="H395">
        <v>1.4997807704353301</v>
      </c>
      <c r="I395">
        <v>2.0831193235201999</v>
      </c>
      <c r="J395">
        <v>2.3459442530535499</v>
      </c>
      <c r="K395">
        <v>2.3446288756655198</v>
      </c>
      <c r="L395">
        <v>1.0000000000000001E-5</v>
      </c>
      <c r="M395">
        <v>25.130643675793799</v>
      </c>
      <c r="Q395">
        <v>1.5</v>
      </c>
      <c r="R395">
        <v>-0.58999528461232398</v>
      </c>
      <c r="S395" t="s">
        <v>2269</v>
      </c>
      <c r="T395" t="s">
        <v>3746</v>
      </c>
      <c r="U395" t="s">
        <v>3746</v>
      </c>
      <c r="V395" t="s">
        <v>3746</v>
      </c>
      <c r="W395" t="s">
        <v>4136</v>
      </c>
      <c r="X395">
        <v>2</v>
      </c>
      <c r="Y395" t="s">
        <v>5995</v>
      </c>
      <c r="Z395" t="s">
        <v>7783</v>
      </c>
      <c r="AA395">
        <v>1.4999999999939071</v>
      </c>
      <c r="AB395" t="str">
        <f>HYPERLINK("Melting_Curves/meltCurve_F8WFB9_SH3GLB2.pdf", "Melting_Curves/meltCurve_F8WFB9_SH3GLB2.pdf")</f>
        <v>Melting_Curves/meltCurve_F8WFB9_SH3GLB2.pdf</v>
      </c>
    </row>
    <row r="396" spans="1:28" x14ac:dyDescent="0.25">
      <c r="A396" t="s">
        <v>400</v>
      </c>
      <c r="B396">
        <v>1</v>
      </c>
      <c r="C396">
        <v>0.96976962706153003</v>
      </c>
      <c r="D396">
        <v>1.32916437157762</v>
      </c>
      <c r="E396">
        <v>1.5592132974759401</v>
      </c>
      <c r="F396">
        <v>0.94896801995917401</v>
      </c>
      <c r="G396">
        <v>1.1221203382691201</v>
      </c>
      <c r="H396">
        <v>0.59177656093056397</v>
      </c>
      <c r="I396">
        <v>1.04208923306224</v>
      </c>
      <c r="J396">
        <v>1.0800311052068801</v>
      </c>
      <c r="K396">
        <v>1.0175290801283099</v>
      </c>
      <c r="L396">
        <v>1903.4614823803299</v>
      </c>
      <c r="M396">
        <v>27.894284944865099</v>
      </c>
      <c r="O396">
        <v>67.890581256579594</v>
      </c>
      <c r="P396">
        <v>5.3354245973043102E-3</v>
      </c>
      <c r="Q396">
        <v>1.05194209857573</v>
      </c>
      <c r="R396">
        <v>-7.3214921747987396E-2</v>
      </c>
      <c r="S396" t="s">
        <v>2270</v>
      </c>
      <c r="T396" t="s">
        <v>3746</v>
      </c>
      <c r="U396" t="s">
        <v>3746</v>
      </c>
      <c r="V396" t="s">
        <v>3746</v>
      </c>
      <c r="W396" t="s">
        <v>4137</v>
      </c>
      <c r="X396">
        <v>4</v>
      </c>
      <c r="Y396" t="s">
        <v>5996</v>
      </c>
      <c r="Z396" t="s">
        <v>7784</v>
      </c>
      <c r="AA396">
        <v>1.0045013040606789</v>
      </c>
      <c r="AB396" t="str">
        <f>HYPERLINK("Melting_Curves/meltCurve_G3V0E5_TFRC.pdf", "Melting_Curves/meltCurve_G3V0E5_TFRC.pdf")</f>
        <v>Melting_Curves/meltCurve_G3V0E5_TFRC.pdf</v>
      </c>
    </row>
    <row r="397" spans="1:28" x14ac:dyDescent="0.25">
      <c r="A397" t="s">
        <v>401</v>
      </c>
      <c r="B397">
        <v>1</v>
      </c>
      <c r="C397">
        <v>1.18228558074316</v>
      </c>
      <c r="D397">
        <v>1.69081561112409</v>
      </c>
      <c r="E397">
        <v>2.36873880190076</v>
      </c>
      <c r="F397">
        <v>1.86203941730934</v>
      </c>
      <c r="G397">
        <v>2.4997663005375101</v>
      </c>
      <c r="H397">
        <v>1.83056788969385</v>
      </c>
      <c r="I397">
        <v>2.70635662537976</v>
      </c>
      <c r="J397">
        <v>2.8294772922022302</v>
      </c>
      <c r="K397">
        <v>2.6703279582457</v>
      </c>
      <c r="L397">
        <v>1.0000000000000001E-5</v>
      </c>
      <c r="M397">
        <v>28.720792168658001</v>
      </c>
      <c r="Q397">
        <v>1.5</v>
      </c>
      <c r="R397">
        <v>-0.83874449151139596</v>
      </c>
      <c r="S397" t="s">
        <v>2271</v>
      </c>
      <c r="T397" t="s">
        <v>3746</v>
      </c>
      <c r="U397" t="s">
        <v>3746</v>
      </c>
      <c r="V397" t="s">
        <v>3746</v>
      </c>
      <c r="W397" t="s">
        <v>4138</v>
      </c>
      <c r="X397">
        <v>6</v>
      </c>
      <c r="Y397" t="s">
        <v>5997</v>
      </c>
      <c r="Z397" t="s">
        <v>7785</v>
      </c>
      <c r="AA397">
        <v>1.4999999999998319</v>
      </c>
      <c r="AB397" t="str">
        <f>HYPERLINK("Melting_Curves/meltCurve_G3V0F0_C16orf89.pdf", "Melting_Curves/meltCurve_G3V0F0_C16orf89.pdf")</f>
        <v>Melting_Curves/meltCurve_G3V0F0_C16orf89.pdf</v>
      </c>
    </row>
    <row r="398" spans="1:28" x14ac:dyDescent="0.25">
      <c r="A398" t="s">
        <v>402</v>
      </c>
      <c r="B398">
        <v>1</v>
      </c>
      <c r="C398">
        <v>1.03098392866139</v>
      </c>
      <c r="D398">
        <v>2.0578366668346</v>
      </c>
      <c r="E398">
        <v>2.4707541941659499</v>
      </c>
      <c r="F398">
        <v>2.24076779686634</v>
      </c>
      <c r="G398">
        <v>3.4600735553428401</v>
      </c>
      <c r="H398">
        <v>3.02997632122525</v>
      </c>
      <c r="I398">
        <v>4.59368230137538</v>
      </c>
      <c r="J398">
        <v>4.7923321074109504</v>
      </c>
      <c r="K398">
        <v>4.7365106554486403</v>
      </c>
      <c r="L398">
        <v>10841.5585384923</v>
      </c>
      <c r="M398">
        <v>250</v>
      </c>
      <c r="O398">
        <v>43.363459966473201</v>
      </c>
      <c r="P398">
        <v>0.72065284354968895</v>
      </c>
      <c r="Q398">
        <v>1.5</v>
      </c>
      <c r="R398">
        <v>-1.09350777800662</v>
      </c>
      <c r="S398" t="s">
        <v>2272</v>
      </c>
      <c r="T398" t="s">
        <v>3746</v>
      </c>
      <c r="U398" t="s">
        <v>3746</v>
      </c>
      <c r="V398" t="s">
        <v>3746</v>
      </c>
      <c r="W398" t="s">
        <v>4139</v>
      </c>
      <c r="X398">
        <v>2</v>
      </c>
      <c r="Y398" t="s">
        <v>5998</v>
      </c>
      <c r="Z398" t="s">
        <v>7786</v>
      </c>
      <c r="AA398">
        <v>1.443858043899068</v>
      </c>
      <c r="AB398" t="str">
        <f>HYPERLINK("Melting_Curves/meltCurve_G3V113_UBE2V2.pdf", "Melting_Curves/meltCurve_G3V113_UBE2V2.pdf")</f>
        <v>Melting_Curves/meltCurve_G3V113_UBE2V2.pdf</v>
      </c>
    </row>
    <row r="399" spans="1:28" x14ac:dyDescent="0.25">
      <c r="A399" t="s">
        <v>403</v>
      </c>
      <c r="B399">
        <v>1</v>
      </c>
      <c r="C399">
        <v>1.01874277790617</v>
      </c>
      <c r="D399">
        <v>1.38058701178646</v>
      </c>
      <c r="E399">
        <v>1.7464293968107201</v>
      </c>
      <c r="F399">
        <v>1.39200369771204</v>
      </c>
      <c r="G399">
        <v>1.6548879131037699</v>
      </c>
      <c r="H399">
        <v>0.927224404899468</v>
      </c>
      <c r="I399">
        <v>1.4509822047608001</v>
      </c>
      <c r="J399">
        <v>1.51428241275711</v>
      </c>
      <c r="K399">
        <v>1.3711116246822299</v>
      </c>
      <c r="L399">
        <v>3389.2164523681599</v>
      </c>
      <c r="M399">
        <v>75.646338710740494</v>
      </c>
      <c r="O399">
        <v>44.772162799203997</v>
      </c>
      <c r="P399">
        <v>0.18434978251505099</v>
      </c>
      <c r="Q399">
        <v>1.4364381446383601</v>
      </c>
      <c r="R399">
        <v>0.40710454076116098</v>
      </c>
      <c r="S399" t="s">
        <v>2273</v>
      </c>
      <c r="T399" t="s">
        <v>3746</v>
      </c>
      <c r="U399" t="s">
        <v>3746</v>
      </c>
      <c r="V399" t="s">
        <v>3746</v>
      </c>
      <c r="W399" t="s">
        <v>4140</v>
      </c>
      <c r="X399">
        <v>6</v>
      </c>
      <c r="Y399" t="s">
        <v>5999</v>
      </c>
      <c r="Z399" t="s">
        <v>7787</v>
      </c>
      <c r="AA399">
        <v>1.366181548933761</v>
      </c>
      <c r="AB399" t="str">
        <f>HYPERLINK("Melting_Curves/meltCurve_G3V1A4_CFL1.pdf", "Melting_Curves/meltCurve_G3V1A4_CFL1.pdf")</f>
        <v>Melting_Curves/meltCurve_G3V1A4_CFL1.pdf</v>
      </c>
    </row>
    <row r="400" spans="1:28" x14ac:dyDescent="0.25">
      <c r="A400" t="s">
        <v>404</v>
      </c>
      <c r="B400">
        <v>1</v>
      </c>
      <c r="C400">
        <v>1.0751571638570001</v>
      </c>
      <c r="D400">
        <v>1.31817470991149</v>
      </c>
      <c r="E400">
        <v>1.71597910737184</v>
      </c>
      <c r="F400">
        <v>0.84196040409095196</v>
      </c>
      <c r="G400">
        <v>0.87551996997466597</v>
      </c>
      <c r="H400">
        <v>0.71794951990742195</v>
      </c>
      <c r="I400">
        <v>0.859412629406061</v>
      </c>
      <c r="J400">
        <v>0.86685641009601899</v>
      </c>
      <c r="K400">
        <v>0.933412566853282</v>
      </c>
      <c r="L400">
        <v>12981.443826491801</v>
      </c>
      <c r="M400">
        <v>250</v>
      </c>
      <c r="O400">
        <v>51.9224524173205</v>
      </c>
      <c r="P400">
        <v>-0.18170857208390401</v>
      </c>
      <c r="Q400">
        <v>0.84904392521954497</v>
      </c>
      <c r="R400">
        <v>0.17016114660022999</v>
      </c>
      <c r="S400" t="s">
        <v>2274</v>
      </c>
      <c r="T400" t="s">
        <v>3746</v>
      </c>
      <c r="U400" t="s">
        <v>3746</v>
      </c>
      <c r="V400" t="s">
        <v>3746</v>
      </c>
      <c r="W400" t="s">
        <v>4141</v>
      </c>
      <c r="X400">
        <v>3</v>
      </c>
      <c r="Y400" t="s">
        <v>6000</v>
      </c>
      <c r="Z400" t="s">
        <v>7788</v>
      </c>
      <c r="AA400">
        <v>0.90906662264815841</v>
      </c>
      <c r="AB400" t="str">
        <f>HYPERLINK("Melting_Curves/meltCurve_G3V1C5_IL18BP.pdf", "Melting_Curves/meltCurve_G3V1C5_IL18BP.pdf")</f>
        <v>Melting_Curves/meltCurve_G3V1C5_IL18BP.pdf</v>
      </c>
    </row>
    <row r="401" spans="1:28" x14ac:dyDescent="0.25">
      <c r="A401" t="s">
        <v>405</v>
      </c>
      <c r="B401">
        <v>1</v>
      </c>
      <c r="C401">
        <v>1.08562847274366</v>
      </c>
      <c r="D401">
        <v>1.49265655503829</v>
      </c>
      <c r="E401">
        <v>2.13569605045803</v>
      </c>
      <c r="F401">
        <v>1.67211292986935</v>
      </c>
      <c r="G401">
        <v>2.0696801321519702</v>
      </c>
      <c r="H401">
        <v>1.9828502778194901</v>
      </c>
      <c r="I401">
        <v>3.3404415077338898</v>
      </c>
      <c r="J401">
        <v>3.36146568553837</v>
      </c>
      <c r="K401">
        <v>3.1680432497372002</v>
      </c>
      <c r="L401">
        <v>3851.1919291527101</v>
      </c>
      <c r="M401">
        <v>88.193634763118695</v>
      </c>
      <c r="O401">
        <v>43.6450113847213</v>
      </c>
      <c r="P401">
        <v>0.25258792179773798</v>
      </c>
      <c r="Q401">
        <v>1.5</v>
      </c>
      <c r="R401">
        <v>-0.50340448653010195</v>
      </c>
      <c r="S401" t="s">
        <v>2275</v>
      </c>
      <c r="T401" t="s">
        <v>3746</v>
      </c>
      <c r="U401" t="s">
        <v>3746</v>
      </c>
      <c r="V401" t="s">
        <v>3746</v>
      </c>
      <c r="W401" t="s">
        <v>4142</v>
      </c>
      <c r="X401">
        <v>9</v>
      </c>
      <c r="Y401" t="s">
        <v>6001</v>
      </c>
      <c r="Z401" t="s">
        <v>7789</v>
      </c>
      <c r="AA401">
        <v>1.438565216839617</v>
      </c>
      <c r="AB401" t="str">
        <f>HYPERLINK("Melting_Curves/meltCurve_G3V1D3_DPP3.pdf", "Melting_Curves/meltCurve_G3V1D3_DPP3.pdf")</f>
        <v>Melting_Curves/meltCurve_G3V1D3_DPP3.pdf</v>
      </c>
    </row>
    <row r="402" spans="1:28" x14ac:dyDescent="0.25">
      <c r="A402" t="s">
        <v>406</v>
      </c>
      <c r="B402">
        <v>1</v>
      </c>
      <c r="C402">
        <v>0.93597472046669905</v>
      </c>
      <c r="D402">
        <v>1.4100631988332499</v>
      </c>
      <c r="E402">
        <v>1.9724517906336101</v>
      </c>
      <c r="F402">
        <v>1.3581753362502</v>
      </c>
      <c r="G402">
        <v>1.4034030140981999</v>
      </c>
      <c r="H402">
        <v>0.93169664560038901</v>
      </c>
      <c r="I402">
        <v>1.3089288608005201</v>
      </c>
      <c r="J402">
        <v>1.47847998703614</v>
      </c>
      <c r="K402">
        <v>1.25576081672338</v>
      </c>
      <c r="L402">
        <v>11126.0506083286</v>
      </c>
      <c r="M402">
        <v>250</v>
      </c>
      <c r="O402">
        <v>44.501352124626003</v>
      </c>
      <c r="P402">
        <v>0.54757163814411403</v>
      </c>
      <c r="Q402">
        <v>1.3898828725366501</v>
      </c>
      <c r="R402">
        <v>0.32491240194548199</v>
      </c>
      <c r="S402" t="s">
        <v>2276</v>
      </c>
      <c r="T402" t="s">
        <v>3746</v>
      </c>
      <c r="U402" t="s">
        <v>3746</v>
      </c>
      <c r="V402" t="s">
        <v>3746</v>
      </c>
      <c r="W402" t="s">
        <v>4143</v>
      </c>
      <c r="X402">
        <v>1</v>
      </c>
      <c r="Y402" t="s">
        <v>6002</v>
      </c>
      <c r="Z402" t="s">
        <v>7790</v>
      </c>
      <c r="AA402">
        <v>1.3313153749473281</v>
      </c>
      <c r="AB402" t="str">
        <f>HYPERLINK("Melting_Curves/meltCurve_G3V1J9_TMED3.pdf", "Melting_Curves/meltCurve_G3V1J9_TMED3.pdf")</f>
        <v>Melting_Curves/meltCurve_G3V1J9_TMED3.pdf</v>
      </c>
    </row>
    <row r="403" spans="1:28" x14ac:dyDescent="0.25">
      <c r="A403" t="s">
        <v>407</v>
      </c>
      <c r="B403">
        <v>1</v>
      </c>
      <c r="C403">
        <v>0.97279392511128604</v>
      </c>
      <c r="D403">
        <v>1.30515841843414</v>
      </c>
      <c r="E403">
        <v>1.67261063105525</v>
      </c>
      <c r="F403">
        <v>1.2437287247970701</v>
      </c>
      <c r="G403">
        <v>1.42985074626866</v>
      </c>
      <c r="H403">
        <v>0.97022780832678701</v>
      </c>
      <c r="I403">
        <v>1.3635244828489099</v>
      </c>
      <c r="J403">
        <v>1.23299293008641</v>
      </c>
      <c r="K403">
        <v>1.2802304268133</v>
      </c>
      <c r="L403">
        <v>11333.3613175438</v>
      </c>
      <c r="M403">
        <v>250</v>
      </c>
      <c r="O403">
        <v>45.3305443511777</v>
      </c>
      <c r="P403">
        <v>0.43197901468187999</v>
      </c>
      <c r="Q403">
        <v>1.31330950093883</v>
      </c>
      <c r="R403">
        <v>0.38060861378361799</v>
      </c>
      <c r="S403" t="s">
        <v>2277</v>
      </c>
      <c r="T403" t="s">
        <v>3746</v>
      </c>
      <c r="U403" t="s">
        <v>3746</v>
      </c>
      <c r="V403" t="s">
        <v>3746</v>
      </c>
      <c r="W403" t="s">
        <v>4144</v>
      </c>
      <c r="X403">
        <v>2</v>
      </c>
      <c r="Y403" t="s">
        <v>6003</v>
      </c>
      <c r="Z403" t="s">
        <v>7791</v>
      </c>
      <c r="AA403">
        <v>1.2575839383316809</v>
      </c>
      <c r="AB403" t="str">
        <f>HYPERLINK("Melting_Curves/meltCurve_G3V1K0_TXNL1.pdf", "Melting_Curves/meltCurve_G3V1K0_TXNL1.pdf")</f>
        <v>Melting_Curves/meltCurve_G3V1K0_TXNL1.pdf</v>
      </c>
    </row>
    <row r="404" spans="1:28" x14ac:dyDescent="0.25">
      <c r="A404" t="s">
        <v>408</v>
      </c>
      <c r="B404">
        <v>1</v>
      </c>
      <c r="C404">
        <v>0.88913978857020903</v>
      </c>
      <c r="D404">
        <v>1.2385831283071</v>
      </c>
      <c r="E404">
        <v>1.55224517767068</v>
      </c>
      <c r="F404">
        <v>1.0244121645152999</v>
      </c>
      <c r="G404">
        <v>2.02700729106984</v>
      </c>
      <c r="H404">
        <v>1.28082414928157</v>
      </c>
      <c r="I404">
        <v>1.8875894532259301</v>
      </c>
      <c r="J404">
        <v>1.6689697010549001</v>
      </c>
      <c r="K404">
        <v>1.5356183928190299</v>
      </c>
      <c r="L404">
        <v>11504.2043352583</v>
      </c>
      <c r="M404">
        <v>250</v>
      </c>
      <c r="O404">
        <v>46.013872421553799</v>
      </c>
      <c r="P404">
        <v>0.67914301255822396</v>
      </c>
      <c r="Q404">
        <v>1.5</v>
      </c>
      <c r="R404">
        <v>0.44500934764961297</v>
      </c>
      <c r="S404" t="s">
        <v>2278</v>
      </c>
      <c r="T404" t="s">
        <v>3746</v>
      </c>
      <c r="U404" t="s">
        <v>3746</v>
      </c>
      <c r="V404" t="s">
        <v>3746</v>
      </c>
      <c r="W404" t="s">
        <v>4145</v>
      </c>
      <c r="X404">
        <v>4</v>
      </c>
      <c r="Y404" t="s">
        <v>6004</v>
      </c>
      <c r="Z404" t="s">
        <v>7792</v>
      </c>
      <c r="AA404">
        <v>1.3996793315836531</v>
      </c>
      <c r="AB404" t="str">
        <f>HYPERLINK("Melting_Curves/meltCurve_G3V203_RPL18.pdf", "Melting_Curves/meltCurve_G3V203_RPL18.pdf")</f>
        <v>Melting_Curves/meltCurve_G3V203_RPL18.pdf</v>
      </c>
    </row>
    <row r="405" spans="1:28" x14ac:dyDescent="0.25">
      <c r="A405" t="s">
        <v>409</v>
      </c>
      <c r="B405">
        <v>1</v>
      </c>
      <c r="C405">
        <v>1.1425577892737899</v>
      </c>
      <c r="D405">
        <v>1.6882980813306301</v>
      </c>
      <c r="E405">
        <v>2.2386549669307798</v>
      </c>
      <c r="F405">
        <v>1.7260166328334801</v>
      </c>
      <c r="G405">
        <v>2.3094427345949802</v>
      </c>
      <c r="H405">
        <v>1.1222578744024601</v>
      </c>
      <c r="I405">
        <v>1.8061358129788501</v>
      </c>
      <c r="J405">
        <v>1.58702769956126</v>
      </c>
      <c r="K405">
        <v>1.79081265143082</v>
      </c>
      <c r="L405">
        <v>10764.4348025372</v>
      </c>
      <c r="M405">
        <v>250</v>
      </c>
      <c r="O405">
        <v>43.054983985828102</v>
      </c>
      <c r="P405">
        <v>0.72581609091919297</v>
      </c>
      <c r="Q405">
        <v>1.5</v>
      </c>
      <c r="R405">
        <v>9.9533805794993394E-2</v>
      </c>
      <c r="S405" t="s">
        <v>2279</v>
      </c>
      <c r="T405" t="s">
        <v>3746</v>
      </c>
      <c r="U405" t="s">
        <v>3746</v>
      </c>
      <c r="V405" t="s">
        <v>3746</v>
      </c>
      <c r="W405" t="s">
        <v>4146</v>
      </c>
      <c r="X405">
        <v>2</v>
      </c>
      <c r="Y405" t="s">
        <v>6005</v>
      </c>
      <c r="Z405" t="s">
        <v>7793</v>
      </c>
      <c r="AA405">
        <v>1.448999896987428</v>
      </c>
      <c r="AB405" t="str">
        <f>HYPERLINK("Melting_Curves/meltCurve_G3V213_AK2.pdf", "Melting_Curves/meltCurve_G3V213_AK2.pdf")</f>
        <v>Melting_Curves/meltCurve_G3V213_AK2.pdf</v>
      </c>
    </row>
    <row r="406" spans="1:28" x14ac:dyDescent="0.25">
      <c r="A406" t="s">
        <v>410</v>
      </c>
      <c r="B406">
        <v>1</v>
      </c>
      <c r="C406">
        <v>1.52705177293158</v>
      </c>
      <c r="D406">
        <v>2.3858831363409401</v>
      </c>
      <c r="E406">
        <v>2.9169302480439501</v>
      </c>
      <c r="F406">
        <v>3.40785749958382</v>
      </c>
      <c r="G406">
        <v>4.3085566838688196</v>
      </c>
      <c r="H406">
        <v>2.64141834526386</v>
      </c>
      <c r="I406">
        <v>4.1502413850507702</v>
      </c>
      <c r="J406">
        <v>4.0238887964041998</v>
      </c>
      <c r="K406">
        <v>3.1742134176793702</v>
      </c>
      <c r="L406">
        <v>10271.8235872681</v>
      </c>
      <c r="M406">
        <v>250</v>
      </c>
      <c r="O406">
        <v>41.084678709089701</v>
      </c>
      <c r="P406">
        <v>0.76062443143092695</v>
      </c>
      <c r="Q406">
        <v>1.5</v>
      </c>
      <c r="R406">
        <v>-1.9083695884605201</v>
      </c>
      <c r="S406" t="s">
        <v>2280</v>
      </c>
      <c r="T406" t="s">
        <v>3746</v>
      </c>
      <c r="U406" t="s">
        <v>3746</v>
      </c>
      <c r="V406" t="s">
        <v>3746</v>
      </c>
      <c r="W406" t="s">
        <v>4147</v>
      </c>
      <c r="X406">
        <v>2</v>
      </c>
      <c r="Y406" t="s">
        <v>6006</v>
      </c>
      <c r="Z406" t="s">
        <v>7794</v>
      </c>
      <c r="AA406">
        <v>1.4818394934597949</v>
      </c>
      <c r="AB406" t="str">
        <f>HYPERLINK("Melting_Curves/meltCurve_G3V2F7_TMEM189.pdf", "Melting_Curves/meltCurve_G3V2F7_TMEM189.pdf")</f>
        <v>Melting_Curves/meltCurve_G3V2F7_TMEM189.pdf</v>
      </c>
    </row>
    <row r="407" spans="1:28" x14ac:dyDescent="0.25">
      <c r="A407" t="s">
        <v>411</v>
      </c>
      <c r="B407">
        <v>1</v>
      </c>
      <c r="C407">
        <v>0.71221545079763404</v>
      </c>
      <c r="D407">
        <v>1.1335364760709801</v>
      </c>
      <c r="E407">
        <v>0.969887076537014</v>
      </c>
      <c r="F407">
        <v>0.56502957519268704</v>
      </c>
      <c r="G407">
        <v>0.55500985839756201</v>
      </c>
      <c r="H407">
        <v>0.43535579853020301</v>
      </c>
      <c r="I407">
        <v>0.59726653522136597</v>
      </c>
      <c r="J407">
        <v>0.51347911812152702</v>
      </c>
      <c r="K407">
        <v>0.46635597777379501</v>
      </c>
      <c r="L407">
        <v>4274.7582343412496</v>
      </c>
      <c r="M407">
        <v>82.780466782394896</v>
      </c>
      <c r="O407">
        <v>51.609583339977199</v>
      </c>
      <c r="P407">
        <v>-0.195124343257432</v>
      </c>
      <c r="Q407">
        <v>0.51339801265219598</v>
      </c>
      <c r="R407">
        <v>0.78976028859851899</v>
      </c>
      <c r="S407" t="s">
        <v>2281</v>
      </c>
      <c r="T407" t="s">
        <v>3746</v>
      </c>
      <c r="U407" t="s">
        <v>3746</v>
      </c>
      <c r="V407" t="s">
        <v>3746</v>
      </c>
      <c r="W407" t="s">
        <v>4148</v>
      </c>
      <c r="X407">
        <v>1</v>
      </c>
      <c r="Y407" t="s">
        <v>6007</v>
      </c>
      <c r="Z407" t="s">
        <v>7795</v>
      </c>
      <c r="AA407">
        <v>0.70259760913435365</v>
      </c>
      <c r="AB407" t="str">
        <f>HYPERLINK("Melting_Curves/meltCurve_G3V2G6_RDH11.pdf", "Melting_Curves/meltCurve_G3V2G6_RDH11.pdf")</f>
        <v>Melting_Curves/meltCurve_G3V2G6_RDH11.pdf</v>
      </c>
    </row>
    <row r="408" spans="1:28" x14ac:dyDescent="0.25">
      <c r="A408" t="s">
        <v>412</v>
      </c>
      <c r="B408">
        <v>1</v>
      </c>
      <c r="C408">
        <v>1.09603258013663</v>
      </c>
      <c r="D408">
        <v>1.37576633385882</v>
      </c>
      <c r="E408">
        <v>1.5375284638290401</v>
      </c>
      <c r="F408">
        <v>1.2703187948852701</v>
      </c>
      <c r="G408">
        <v>1.4098791382028399</v>
      </c>
      <c r="H408">
        <v>0.67126466981958299</v>
      </c>
      <c r="I408">
        <v>1.2201348747591501</v>
      </c>
      <c r="J408">
        <v>1.23887721142056</v>
      </c>
      <c r="K408">
        <v>1.1283499737256999</v>
      </c>
      <c r="L408">
        <v>10739.7641730507</v>
      </c>
      <c r="M408">
        <v>250</v>
      </c>
      <c r="O408">
        <v>42.956307531550003</v>
      </c>
      <c r="P408">
        <v>0.33684653183829499</v>
      </c>
      <c r="Q408">
        <v>1.2315149314854801</v>
      </c>
      <c r="R408">
        <v>0.110150189669787</v>
      </c>
      <c r="S408" t="s">
        <v>2282</v>
      </c>
      <c r="T408" t="s">
        <v>3746</v>
      </c>
      <c r="U408" t="s">
        <v>3746</v>
      </c>
      <c r="V408" t="s">
        <v>3746</v>
      </c>
      <c r="W408" t="s">
        <v>4149</v>
      </c>
      <c r="X408">
        <v>4</v>
      </c>
      <c r="Y408" t="s">
        <v>6008</v>
      </c>
      <c r="Z408" t="s">
        <v>7796</v>
      </c>
      <c r="AA408">
        <v>1.2086619500790829</v>
      </c>
      <c r="AB408" t="str">
        <f>HYPERLINK("Melting_Curves/meltCurve_G3V2W1_SERPINA10.pdf", "Melting_Curves/meltCurve_G3V2W1_SERPINA10.pdf")</f>
        <v>Melting_Curves/meltCurve_G3V2W1_SERPINA10.pdf</v>
      </c>
    </row>
    <row r="409" spans="1:28" x14ac:dyDescent="0.25">
      <c r="A409" t="s">
        <v>413</v>
      </c>
      <c r="B409">
        <v>1</v>
      </c>
      <c r="C409">
        <v>0.98691567402153502</v>
      </c>
      <c r="D409">
        <v>1.57226408888762</v>
      </c>
      <c r="E409">
        <v>2.1428265004075402</v>
      </c>
      <c r="F409">
        <v>1.4783143384193</v>
      </c>
      <c r="G409">
        <v>1.70682529922352</v>
      </c>
      <c r="H409">
        <v>1.0374083024695799</v>
      </c>
      <c r="I409">
        <v>1.52593270509502</v>
      </c>
      <c r="J409">
        <v>1.5881368777795299</v>
      </c>
      <c r="K409">
        <v>1.4687334658449001</v>
      </c>
      <c r="L409">
        <v>11062.871385111701</v>
      </c>
      <c r="M409">
        <v>250</v>
      </c>
      <c r="O409">
        <v>44.248656474071197</v>
      </c>
      <c r="P409">
        <v>0.706236176566711</v>
      </c>
      <c r="Q409">
        <v>1.5</v>
      </c>
      <c r="R409">
        <v>0.41632600103666401</v>
      </c>
      <c r="S409" t="s">
        <v>2283</v>
      </c>
      <c r="T409" t="s">
        <v>3746</v>
      </c>
      <c r="U409" t="s">
        <v>3746</v>
      </c>
      <c r="V409" t="s">
        <v>3746</v>
      </c>
      <c r="W409" t="s">
        <v>4150</v>
      </c>
      <c r="X409">
        <v>1</v>
      </c>
      <c r="Y409" t="s">
        <v>6009</v>
      </c>
      <c r="Z409" t="s">
        <v>7797</v>
      </c>
      <c r="AA409">
        <v>1.4291030773250031</v>
      </c>
      <c r="AB409" t="str">
        <f>HYPERLINK("Melting_Curves/meltCurve_G3V2W9_EAPP.pdf", "Melting_Curves/meltCurve_G3V2W9_EAPP.pdf")</f>
        <v>Melting_Curves/meltCurve_G3V2W9_EAPP.pdf</v>
      </c>
    </row>
    <row r="410" spans="1:28" x14ac:dyDescent="0.25">
      <c r="A410" t="s">
        <v>414</v>
      </c>
      <c r="B410">
        <v>1</v>
      </c>
      <c r="C410">
        <v>0.97940797940797897</v>
      </c>
      <c r="D410">
        <v>3.0433290433290399</v>
      </c>
      <c r="E410">
        <v>3.9076219076219099</v>
      </c>
      <c r="F410">
        <v>3.8527098527098498</v>
      </c>
      <c r="G410">
        <v>2.22285142285142</v>
      </c>
      <c r="H410">
        <v>2.4069784069784101</v>
      </c>
      <c r="I410">
        <v>3.14943514943515</v>
      </c>
      <c r="J410">
        <v>3.6187616187616198</v>
      </c>
      <c r="K410">
        <v>3.1076791076791102</v>
      </c>
      <c r="L410">
        <v>11005.387486502501</v>
      </c>
      <c r="M410">
        <v>250</v>
      </c>
      <c r="O410">
        <v>44.018745761515802</v>
      </c>
      <c r="P410">
        <v>0.70992502430650894</v>
      </c>
      <c r="Q410">
        <v>1.5</v>
      </c>
      <c r="R410">
        <v>-1.41935100218307</v>
      </c>
      <c r="S410" t="s">
        <v>2284</v>
      </c>
      <c r="T410" t="s">
        <v>3746</v>
      </c>
      <c r="U410" t="s">
        <v>3746</v>
      </c>
      <c r="V410" t="s">
        <v>3746</v>
      </c>
      <c r="W410" t="s">
        <v>4151</v>
      </c>
      <c r="X410">
        <v>1</v>
      </c>
      <c r="Y410" t="s">
        <v>6010</v>
      </c>
      <c r="Z410" t="s">
        <v>7798</v>
      </c>
      <c r="AA410">
        <v>1.432935538998956</v>
      </c>
      <c r="AB410" t="str">
        <f>HYPERLINK("Melting_Curves/meltCurve_G3V3E1_SKOR1.pdf", "Melting_Curves/meltCurve_G3V3E1_SKOR1.pdf")</f>
        <v>Melting_Curves/meltCurve_G3V3E1_SKOR1.pdf</v>
      </c>
    </row>
    <row r="411" spans="1:28" x14ac:dyDescent="0.25">
      <c r="A411" t="s">
        <v>415</v>
      </c>
      <c r="B411">
        <v>1</v>
      </c>
      <c r="C411">
        <v>1.01632633519259</v>
      </c>
      <c r="D411">
        <v>1.6158044670002201</v>
      </c>
      <c r="E411">
        <v>1.7923299739065901</v>
      </c>
      <c r="F411">
        <v>1.3378498072917899</v>
      </c>
      <c r="G411">
        <v>1.73681564647021</v>
      </c>
      <c r="H411">
        <v>0.93955425753477095</v>
      </c>
      <c r="I411">
        <v>1.4001627845737701</v>
      </c>
      <c r="J411">
        <v>1.3616929595671801</v>
      </c>
      <c r="K411">
        <v>1.39769707705934</v>
      </c>
      <c r="L411">
        <v>10865.454373406999</v>
      </c>
      <c r="M411">
        <v>250</v>
      </c>
      <c r="O411">
        <v>43.459030613421596</v>
      </c>
      <c r="P411">
        <v>0.64390864644272305</v>
      </c>
      <c r="Q411">
        <v>1.44773838665976</v>
      </c>
      <c r="R411">
        <v>0.37611211097186398</v>
      </c>
      <c r="S411" t="s">
        <v>2285</v>
      </c>
      <c r="T411" t="s">
        <v>3746</v>
      </c>
      <c r="U411" t="s">
        <v>3746</v>
      </c>
      <c r="V411" t="s">
        <v>3746</v>
      </c>
      <c r="W411" t="s">
        <v>4152</v>
      </c>
      <c r="X411">
        <v>1</v>
      </c>
      <c r="Y411" t="s">
        <v>6011</v>
      </c>
      <c r="Z411" t="s">
        <v>7799</v>
      </c>
      <c r="AA411">
        <v>1.3960379495134621</v>
      </c>
      <c r="AB411" t="str">
        <f>HYPERLINK("Melting_Curves/meltCurve_G3V3Z5_FAM177A1.pdf", "Melting_Curves/meltCurve_G3V3Z5_FAM177A1.pdf")</f>
        <v>Melting_Curves/meltCurve_G3V3Z5_FAM177A1.pdf</v>
      </c>
    </row>
    <row r="412" spans="1:28" x14ac:dyDescent="0.25">
      <c r="A412" t="s">
        <v>416</v>
      </c>
      <c r="B412">
        <v>1</v>
      </c>
      <c r="C412">
        <v>1.09171786120592</v>
      </c>
      <c r="D412">
        <v>1.4852104664391399</v>
      </c>
      <c r="E412">
        <v>1.4203868031854401</v>
      </c>
      <c r="F412">
        <v>0.98109215017064799</v>
      </c>
      <c r="G412">
        <v>0.86703071672354903</v>
      </c>
      <c r="H412">
        <v>0.72277588168373197</v>
      </c>
      <c r="I412">
        <v>0.75460750853242298</v>
      </c>
      <c r="J412">
        <v>0.88969283276450495</v>
      </c>
      <c r="K412">
        <v>0.84279863481228701</v>
      </c>
      <c r="L412">
        <v>14208.8179297528</v>
      </c>
      <c r="M412">
        <v>250</v>
      </c>
      <c r="O412">
        <v>56.831636201923402</v>
      </c>
      <c r="P412">
        <v>-0.21723297885856199</v>
      </c>
      <c r="Q412">
        <v>0.80246871565411404</v>
      </c>
      <c r="R412">
        <v>0.28329844299131302</v>
      </c>
      <c r="S412" t="s">
        <v>2286</v>
      </c>
      <c r="T412" t="s">
        <v>3746</v>
      </c>
      <c r="U412" t="s">
        <v>3746</v>
      </c>
      <c r="V412" t="s">
        <v>3746</v>
      </c>
      <c r="W412" t="s">
        <v>4153</v>
      </c>
      <c r="X412">
        <v>2</v>
      </c>
      <c r="Y412" t="s">
        <v>6012</v>
      </c>
      <c r="Z412" t="s">
        <v>7800</v>
      </c>
      <c r="AA412">
        <v>0.91333817991443311</v>
      </c>
      <c r="AB412" t="str">
        <f>HYPERLINK("Melting_Curves/meltCurve_G3V4U0_FBLN5.pdf", "Melting_Curves/meltCurve_G3V4U0_FBLN5.pdf")</f>
        <v>Melting_Curves/meltCurve_G3V4U0_FBLN5.pdf</v>
      </c>
    </row>
    <row r="413" spans="1:28" x14ac:dyDescent="0.25">
      <c r="A413" t="s">
        <v>417</v>
      </c>
      <c r="B413">
        <v>1</v>
      </c>
      <c r="C413">
        <v>1.0086390079074801</v>
      </c>
      <c r="D413">
        <v>1.1827428850106201</v>
      </c>
      <c r="E413">
        <v>1.2931689135054201</v>
      </c>
      <c r="F413">
        <v>1.00515553697704</v>
      </c>
      <c r="G413">
        <v>1.14958024175288</v>
      </c>
      <c r="H413">
        <v>0.45623018775908297</v>
      </c>
      <c r="I413">
        <v>0.962761695753649</v>
      </c>
      <c r="J413">
        <v>0.83456996551363805</v>
      </c>
      <c r="K413">
        <v>0.83686905632772501</v>
      </c>
      <c r="L413">
        <v>3776.7639284141201</v>
      </c>
      <c r="M413">
        <v>64.467756647138202</v>
      </c>
      <c r="O413">
        <v>58.527472939027497</v>
      </c>
      <c r="P413">
        <v>-6.1475780997312102E-2</v>
      </c>
      <c r="Q413">
        <v>0.77675531851295398</v>
      </c>
      <c r="R413">
        <v>0.36793887774351702</v>
      </c>
      <c r="S413" t="s">
        <v>2287</v>
      </c>
      <c r="T413" t="s">
        <v>3746</v>
      </c>
      <c r="U413" t="s">
        <v>3746</v>
      </c>
      <c r="V413" t="s">
        <v>3746</v>
      </c>
      <c r="W413" t="s">
        <v>4154</v>
      </c>
      <c r="X413">
        <v>3</v>
      </c>
      <c r="Y413" t="s">
        <v>6013</v>
      </c>
      <c r="Z413" t="s">
        <v>7801</v>
      </c>
      <c r="AA413">
        <v>0.9153921831965971</v>
      </c>
      <c r="AB413" t="str">
        <f>HYPERLINK("Melting_Curves/meltCurve_G3V511_LTBP2.pdf", "Melting_Curves/meltCurve_G3V511_LTBP2.pdf")</f>
        <v>Melting_Curves/meltCurve_G3V511_LTBP2.pdf</v>
      </c>
    </row>
    <row r="414" spans="1:28" x14ac:dyDescent="0.25">
      <c r="A414" t="s">
        <v>418</v>
      </c>
      <c r="B414">
        <v>1</v>
      </c>
      <c r="C414">
        <v>1.09864957656214</v>
      </c>
      <c r="D414">
        <v>1.2357627876053101</v>
      </c>
      <c r="E414">
        <v>1.8629085875595399</v>
      </c>
      <c r="F414">
        <v>1.6962582698449</v>
      </c>
      <c r="G414">
        <v>1.74890189538851</v>
      </c>
      <c r="H414">
        <v>0.95824477650982598</v>
      </c>
      <c r="I414">
        <v>1.98639767190923</v>
      </c>
      <c r="J414">
        <v>1.78552354794058</v>
      </c>
      <c r="K414">
        <v>1.7423623145756399</v>
      </c>
      <c r="L414">
        <v>9675.2977451937095</v>
      </c>
      <c r="M414">
        <v>210.21853967488499</v>
      </c>
      <c r="O414">
        <v>46.020784544667897</v>
      </c>
      <c r="P414">
        <v>0.57098803915780305</v>
      </c>
      <c r="Q414">
        <v>1.5</v>
      </c>
      <c r="R414">
        <v>0.33995360425163401</v>
      </c>
      <c r="S414" t="s">
        <v>2288</v>
      </c>
      <c r="T414" t="s">
        <v>3746</v>
      </c>
      <c r="U414" t="s">
        <v>3746</v>
      </c>
      <c r="V414" t="s">
        <v>3746</v>
      </c>
      <c r="W414" t="s">
        <v>4155</v>
      </c>
      <c r="X414">
        <v>3</v>
      </c>
      <c r="Y414" t="s">
        <v>6014</v>
      </c>
      <c r="Z414" t="s">
        <v>7802</v>
      </c>
      <c r="AA414">
        <v>1.3995270457904969</v>
      </c>
      <c r="AB414" t="str">
        <f>HYPERLINK("Melting_Curves/meltCurve_G3V578_NDRG2.pdf", "Melting_Curves/meltCurve_G3V578_NDRG2.pdf")</f>
        <v>Melting_Curves/meltCurve_G3V578_NDRG2.pdf</v>
      </c>
    </row>
    <row r="415" spans="1:28" x14ac:dyDescent="0.25">
      <c r="A415" t="s">
        <v>419</v>
      </c>
      <c r="B415">
        <v>1</v>
      </c>
      <c r="C415">
        <v>1.14133571322326</v>
      </c>
      <c r="D415">
        <v>1.4843076007734599</v>
      </c>
      <c r="E415">
        <v>1.84679458575041</v>
      </c>
      <c r="F415">
        <v>1.61520154692845</v>
      </c>
      <c r="G415">
        <v>1.6977539788784799</v>
      </c>
      <c r="H415">
        <v>1.05613565372602</v>
      </c>
      <c r="I415">
        <v>1.79577569537409</v>
      </c>
      <c r="J415">
        <v>1.7771828052952601</v>
      </c>
      <c r="K415">
        <v>1.6376617581436901</v>
      </c>
      <c r="L415">
        <v>2993.6222976664699</v>
      </c>
      <c r="M415">
        <v>68.847428136486599</v>
      </c>
      <c r="O415">
        <v>43.445335565677503</v>
      </c>
      <c r="P415">
        <v>0.19808641360081899</v>
      </c>
      <c r="Q415">
        <v>1.5</v>
      </c>
      <c r="R415">
        <v>0.40636944290794003</v>
      </c>
      <c r="S415" t="s">
        <v>2289</v>
      </c>
      <c r="T415" t="s">
        <v>3746</v>
      </c>
      <c r="U415" t="s">
        <v>3746</v>
      </c>
      <c r="V415" t="s">
        <v>3746</v>
      </c>
      <c r="W415" t="s">
        <v>4156</v>
      </c>
      <c r="X415">
        <v>2</v>
      </c>
      <c r="Y415" t="s">
        <v>6015</v>
      </c>
      <c r="Z415" t="s">
        <v>7803</v>
      </c>
      <c r="AA415">
        <v>1.441440945629</v>
      </c>
      <c r="AB415" t="str">
        <f>HYPERLINK("Melting_Curves/meltCurve_G3V5E4_GNPNAT1.pdf", "Melting_Curves/meltCurve_G3V5E4_GNPNAT1.pdf")</f>
        <v>Melting_Curves/meltCurve_G3V5E4_GNPNAT1.pdf</v>
      </c>
    </row>
    <row r="416" spans="1:28" x14ac:dyDescent="0.25">
      <c r="A416" t="s">
        <v>420</v>
      </c>
      <c r="B416">
        <v>1</v>
      </c>
      <c r="C416">
        <v>0.90504754707475299</v>
      </c>
      <c r="D416">
        <v>1.4198312236286901</v>
      </c>
      <c r="E416">
        <v>1.6731217331066199</v>
      </c>
      <c r="F416">
        <v>1.2239750614018501</v>
      </c>
      <c r="G416">
        <v>1.3048995528685701</v>
      </c>
      <c r="H416">
        <v>0.63349392279110806</v>
      </c>
      <c r="I416">
        <v>0.98065054474463098</v>
      </c>
      <c r="J416">
        <v>0.99562315007242297</v>
      </c>
      <c r="K416">
        <v>0.89952138043957397</v>
      </c>
      <c r="L416">
        <v>1941.01195323866</v>
      </c>
      <c r="M416">
        <v>32.604879014020597</v>
      </c>
      <c r="O416">
        <v>59.308734327133401</v>
      </c>
      <c r="P416">
        <v>-1.2780255921038699E-2</v>
      </c>
      <c r="Q416">
        <v>0.90701057480990199</v>
      </c>
      <c r="R416">
        <v>-9.5200394861359297E-2</v>
      </c>
      <c r="S416" t="s">
        <v>2290</v>
      </c>
      <c r="T416" t="s">
        <v>3746</v>
      </c>
      <c r="U416" t="s">
        <v>3746</v>
      </c>
      <c r="V416" t="s">
        <v>3746</v>
      </c>
      <c r="W416" t="s">
        <v>4157</v>
      </c>
      <c r="X416">
        <v>21</v>
      </c>
      <c r="Y416" t="s">
        <v>6016</v>
      </c>
      <c r="Z416" t="s">
        <v>7804</v>
      </c>
      <c r="AA416">
        <v>0.96806523203699546</v>
      </c>
      <c r="AB416" t="str">
        <f>HYPERLINK("Melting_Curves/meltCurve_G3V5I3_SERPINA3.pdf", "Melting_Curves/meltCurve_G3V5I3_SERPINA3.pdf")</f>
        <v>Melting_Curves/meltCurve_G3V5I3_SERPINA3.pdf</v>
      </c>
    </row>
    <row r="417" spans="1:28" x14ac:dyDescent="0.25">
      <c r="A417" t="s">
        <v>421</v>
      </c>
      <c r="B417">
        <v>1</v>
      </c>
      <c r="C417">
        <v>1.1775317843051301</v>
      </c>
      <c r="D417">
        <v>1.9815651030249899</v>
      </c>
      <c r="E417">
        <v>2.9327049539675598</v>
      </c>
      <c r="F417">
        <v>2.4125383603682602</v>
      </c>
      <c r="G417">
        <v>2.6685664182376101</v>
      </c>
      <c r="H417">
        <v>2.2154756685664201</v>
      </c>
      <c r="I417">
        <v>2.5672950460324402</v>
      </c>
      <c r="J417">
        <v>2.2437527400263</v>
      </c>
      <c r="K417">
        <v>2.1473914949583501</v>
      </c>
      <c r="L417">
        <v>10750.6050141414</v>
      </c>
      <c r="M417">
        <v>250</v>
      </c>
      <c r="O417">
        <v>42.999690722196597</v>
      </c>
      <c r="P417">
        <v>0.72674979180681198</v>
      </c>
      <c r="Q417">
        <v>1.5</v>
      </c>
      <c r="R417">
        <v>-1.0706101686548899</v>
      </c>
      <c r="S417" t="s">
        <v>2291</v>
      </c>
      <c r="T417" t="s">
        <v>3746</v>
      </c>
      <c r="U417" t="s">
        <v>3746</v>
      </c>
      <c r="V417" t="s">
        <v>3746</v>
      </c>
      <c r="W417" t="s">
        <v>4158</v>
      </c>
      <c r="X417">
        <v>8</v>
      </c>
      <c r="Y417" t="s">
        <v>6017</v>
      </c>
      <c r="Z417" t="s">
        <v>7805</v>
      </c>
      <c r="AA417">
        <v>1.449921931417492</v>
      </c>
      <c r="AB417" t="str">
        <f>HYPERLINK("Melting_Curves/meltCurve_G3V5Z7_PSMA6.pdf", "Melting_Curves/meltCurve_G3V5Z7_PSMA6.pdf")</f>
        <v>Melting_Curves/meltCurve_G3V5Z7_PSMA6.pdf</v>
      </c>
    </row>
    <row r="418" spans="1:28" x14ac:dyDescent="0.25">
      <c r="A418" t="s">
        <v>422</v>
      </c>
      <c r="B418">
        <v>1</v>
      </c>
      <c r="C418">
        <v>1.0720315821439399</v>
      </c>
      <c r="D418">
        <v>1.0459763133920399</v>
      </c>
      <c r="E418">
        <v>1.16328575766778</v>
      </c>
      <c r="F418">
        <v>1.3814151229881599</v>
      </c>
      <c r="G418">
        <v>1.22377771029456</v>
      </c>
      <c r="H418">
        <v>1.12201639842089</v>
      </c>
      <c r="I418">
        <v>2.1380807774066199</v>
      </c>
      <c r="J418">
        <v>1.77017916793198</v>
      </c>
      <c r="K418">
        <v>1.7800789553598499</v>
      </c>
      <c r="L418">
        <v>954.545510485877</v>
      </c>
      <c r="M418">
        <v>18.401916276200101</v>
      </c>
      <c r="O418">
        <v>51.271139245746198</v>
      </c>
      <c r="P418">
        <v>4.4866246358830103E-2</v>
      </c>
      <c r="Q418">
        <v>1.5</v>
      </c>
      <c r="R418">
        <v>0.45103256166752198</v>
      </c>
      <c r="S418" t="s">
        <v>2292</v>
      </c>
      <c r="T418" t="s">
        <v>3746</v>
      </c>
      <c r="U418" t="s">
        <v>3746</v>
      </c>
      <c r="V418" t="s">
        <v>3746</v>
      </c>
      <c r="W418" t="s">
        <v>4159</v>
      </c>
      <c r="X418">
        <v>1</v>
      </c>
      <c r="Y418" t="s">
        <v>6018</v>
      </c>
      <c r="Z418" t="s">
        <v>7806</v>
      </c>
      <c r="AA418">
        <v>1.2941093272569959</v>
      </c>
      <c r="AB418" t="str">
        <f>HYPERLINK("Melting_Curves/meltCurve_G3XAB3_TTC17.pdf", "Melting_Curves/meltCurve_G3XAB3_TTC17.pdf")</f>
        <v>Melting_Curves/meltCurve_G3XAB3_TTC17.pdf</v>
      </c>
    </row>
    <row r="419" spans="1:28" x14ac:dyDescent="0.25">
      <c r="A419" t="s">
        <v>423</v>
      </c>
      <c r="B419">
        <v>1</v>
      </c>
      <c r="C419">
        <v>1.1246717230077501</v>
      </c>
      <c r="D419">
        <v>1.4585162930436799</v>
      </c>
      <c r="E419">
        <v>2.0991028846355899</v>
      </c>
      <c r="F419">
        <v>1.5385003256507801</v>
      </c>
      <c r="G419">
        <v>1.7956173708426999</v>
      </c>
      <c r="H419">
        <v>1.0024371283904401</v>
      </c>
      <c r="I419">
        <v>1.9462991365002</v>
      </c>
      <c r="J419">
        <v>1.85135617791037</v>
      </c>
      <c r="K419">
        <v>1.72115889656911</v>
      </c>
      <c r="L419">
        <v>2580.0307061114599</v>
      </c>
      <c r="M419">
        <v>59.013991061773602</v>
      </c>
      <c r="O419">
        <v>43.668849143737603</v>
      </c>
      <c r="P419">
        <v>0.16892481180004501</v>
      </c>
      <c r="Q419">
        <v>1.5</v>
      </c>
      <c r="R419">
        <v>0.25377877413923899</v>
      </c>
      <c r="S419" t="s">
        <v>2293</v>
      </c>
      <c r="T419" t="s">
        <v>3746</v>
      </c>
      <c r="U419" t="s">
        <v>3746</v>
      </c>
      <c r="V419" t="s">
        <v>3746</v>
      </c>
      <c r="W419" t="s">
        <v>4160</v>
      </c>
      <c r="X419">
        <v>9</v>
      </c>
      <c r="Y419" t="s">
        <v>6019</v>
      </c>
      <c r="Z419" t="s">
        <v>7807</v>
      </c>
      <c r="AA419">
        <v>1.4372847058914979</v>
      </c>
      <c r="AB419" t="str">
        <f>HYPERLINK("Melting_Curves/meltCurve_G3XAE6_SULF2.pdf", "Melting_Curves/meltCurve_G3XAE6_SULF2.pdf")</f>
        <v>Melting_Curves/meltCurve_G3XAE6_SULF2.pdf</v>
      </c>
    </row>
    <row r="420" spans="1:28" x14ac:dyDescent="0.25">
      <c r="A420" t="s">
        <v>424</v>
      </c>
      <c r="B420">
        <v>1</v>
      </c>
      <c r="C420">
        <v>1.01917231704466</v>
      </c>
      <c r="D420">
        <v>1.76052139350012</v>
      </c>
      <c r="E420">
        <v>2.5824175824175799</v>
      </c>
      <c r="F420">
        <v>1.7879939209726401</v>
      </c>
      <c r="G420">
        <v>1.78618190320318</v>
      </c>
      <c r="H420">
        <v>1.34334814122048</v>
      </c>
      <c r="I420">
        <v>1.88631049801263</v>
      </c>
      <c r="J420">
        <v>2.0508534019172302</v>
      </c>
      <c r="K420">
        <v>1.8310731821370101</v>
      </c>
      <c r="L420">
        <v>10863.210741917699</v>
      </c>
      <c r="M420">
        <v>250</v>
      </c>
      <c r="O420">
        <v>43.4500420721401</v>
      </c>
      <c r="P420">
        <v>0.719216458976635</v>
      </c>
      <c r="Q420">
        <v>1.5</v>
      </c>
      <c r="R420">
        <v>3.0110790436687698E-2</v>
      </c>
      <c r="S420" t="s">
        <v>2294</v>
      </c>
      <c r="T420" t="s">
        <v>3746</v>
      </c>
      <c r="U420" t="s">
        <v>3746</v>
      </c>
      <c r="V420" t="s">
        <v>3746</v>
      </c>
      <c r="W420" t="s">
        <v>4161</v>
      </c>
      <c r="X420">
        <v>5</v>
      </c>
      <c r="Y420" t="s">
        <v>6020</v>
      </c>
      <c r="Z420" t="s">
        <v>7808</v>
      </c>
      <c r="AA420">
        <v>1.4424144876728859</v>
      </c>
      <c r="AB420" t="str">
        <f>HYPERLINK("Melting_Curves/meltCurve_G3XAI2_LAMB1.pdf", "Melting_Curves/meltCurve_G3XAI2_LAMB1.pdf")</f>
        <v>Melting_Curves/meltCurve_G3XAI2_LAMB1.pdf</v>
      </c>
    </row>
    <row r="421" spans="1:28" x14ac:dyDescent="0.25">
      <c r="A421" t="s">
        <v>425</v>
      </c>
      <c r="B421">
        <v>1</v>
      </c>
      <c r="C421">
        <v>0.90316810993642505</v>
      </c>
      <c r="D421">
        <v>1.62691034018665</v>
      </c>
      <c r="E421">
        <v>2.2830225433423599</v>
      </c>
      <c r="F421">
        <v>1.7355540207901701</v>
      </c>
      <c r="G421">
        <v>1.70020719332731</v>
      </c>
      <c r="H421">
        <v>1.18022277709894</v>
      </c>
      <c r="I421">
        <v>1.8725318316244299</v>
      </c>
      <c r="J421">
        <v>1.7882377941879599</v>
      </c>
      <c r="K421">
        <v>1.74860542952771</v>
      </c>
      <c r="L421">
        <v>11094.5399613265</v>
      </c>
      <c r="M421">
        <v>250</v>
      </c>
      <c r="O421">
        <v>44.375320024256197</v>
      </c>
      <c r="P421">
        <v>0.70422027561020195</v>
      </c>
      <c r="Q421">
        <v>1.5</v>
      </c>
      <c r="R421">
        <v>0.31974045316427602</v>
      </c>
      <c r="S421" t="s">
        <v>2295</v>
      </c>
      <c r="T421" t="s">
        <v>3746</v>
      </c>
      <c r="U421" t="s">
        <v>3746</v>
      </c>
      <c r="V421" t="s">
        <v>3746</v>
      </c>
      <c r="W421" t="s">
        <v>4162</v>
      </c>
      <c r="X421">
        <v>4</v>
      </c>
      <c r="Y421" t="s">
        <v>6021</v>
      </c>
      <c r="Z421" t="s">
        <v>7809</v>
      </c>
      <c r="AA421">
        <v>1.4269917277549711</v>
      </c>
      <c r="AB421" t="str">
        <f>HYPERLINK("Melting_Curves/meltCurve_G3XAK1_MST1.pdf", "Melting_Curves/meltCurve_G3XAK1_MST1.pdf")</f>
        <v>Melting_Curves/meltCurve_G3XAK1_MST1.pdf</v>
      </c>
    </row>
    <row r="422" spans="1:28" x14ac:dyDescent="0.25">
      <c r="A422" t="s">
        <v>426</v>
      </c>
      <c r="B422">
        <v>1</v>
      </c>
      <c r="C422">
        <v>1.03396572190175</v>
      </c>
      <c r="D422">
        <v>1.54303504862659</v>
      </c>
      <c r="E422">
        <v>2.0592265561548602</v>
      </c>
      <c r="F422">
        <v>1.41991711614153</v>
      </c>
      <c r="G422">
        <v>1.61515233553385</v>
      </c>
      <c r="H422">
        <v>1.09356712967784</v>
      </c>
      <c r="I422">
        <v>1.6145692330119299</v>
      </c>
      <c r="J422">
        <v>1.64845165455341</v>
      </c>
      <c r="K422">
        <v>1.5147545763135399</v>
      </c>
      <c r="L422">
        <v>10837.3506491833</v>
      </c>
      <c r="M422">
        <v>250</v>
      </c>
      <c r="O422">
        <v>43.346629685751303</v>
      </c>
      <c r="P422">
        <v>0.72093265615949198</v>
      </c>
      <c r="Q422">
        <v>1.5</v>
      </c>
      <c r="R422">
        <v>0.454867436914901</v>
      </c>
      <c r="S422" t="s">
        <v>2296</v>
      </c>
      <c r="T422" t="s">
        <v>3746</v>
      </c>
      <c r="U422" t="s">
        <v>3746</v>
      </c>
      <c r="V422" t="s">
        <v>3746</v>
      </c>
      <c r="W422" t="s">
        <v>4163</v>
      </c>
      <c r="X422">
        <v>18</v>
      </c>
      <c r="Y422" t="s">
        <v>6022</v>
      </c>
      <c r="Z422" t="s">
        <v>7810</v>
      </c>
      <c r="AA422">
        <v>1.4441385846223611</v>
      </c>
      <c r="AB422" t="str">
        <f>HYPERLINK("Melting_Curves/meltCurve_G3XAM2_CFI.pdf", "Melting_Curves/meltCurve_G3XAM2_CFI.pdf")</f>
        <v>Melting_Curves/meltCurve_G3XAM2_CFI.pdf</v>
      </c>
    </row>
    <row r="423" spans="1:28" x14ac:dyDescent="0.25">
      <c r="A423" t="s">
        <v>427</v>
      </c>
      <c r="B423">
        <v>1</v>
      </c>
      <c r="C423">
        <v>0.79067237969676996</v>
      </c>
      <c r="D423">
        <v>1.2437705998681601</v>
      </c>
      <c r="E423">
        <v>1.3221819380355999</v>
      </c>
      <c r="F423">
        <v>1.19248516809492</v>
      </c>
      <c r="G423">
        <v>1.2245220830586701</v>
      </c>
      <c r="H423">
        <v>0.65458141067897202</v>
      </c>
      <c r="I423">
        <v>1.0944627554383699</v>
      </c>
      <c r="J423">
        <v>1.21278839815425</v>
      </c>
      <c r="K423">
        <v>0.93569545154911005</v>
      </c>
      <c r="L423">
        <v>11110.483452852</v>
      </c>
      <c r="M423">
        <v>250</v>
      </c>
      <c r="O423">
        <v>44.4390897963467</v>
      </c>
      <c r="P423">
        <v>0.15478641113102901</v>
      </c>
      <c r="Q423">
        <v>1.1100570755116701</v>
      </c>
      <c r="R423">
        <v>0.121396916409112</v>
      </c>
      <c r="S423" t="s">
        <v>2297</v>
      </c>
      <c r="T423" t="s">
        <v>3746</v>
      </c>
      <c r="U423" t="s">
        <v>3746</v>
      </c>
      <c r="V423" t="s">
        <v>3746</v>
      </c>
      <c r="W423" t="s">
        <v>4164</v>
      </c>
      <c r="X423">
        <v>1</v>
      </c>
      <c r="Y423" t="s">
        <v>6023</v>
      </c>
      <c r="Z423" t="s">
        <v>7811</v>
      </c>
      <c r="AA423">
        <v>1.0937529501241661</v>
      </c>
      <c r="AB423" t="str">
        <f>HYPERLINK("Melting_Curves/meltCurve_G5E9F8_PROS1.pdf", "Melting_Curves/meltCurve_G5E9F8_PROS1.pdf")</f>
        <v>Melting_Curves/meltCurve_G5E9F8_PROS1.pdf</v>
      </c>
    </row>
    <row r="424" spans="1:28" x14ac:dyDescent="0.25">
      <c r="A424" t="s">
        <v>428</v>
      </c>
      <c r="B424">
        <v>1</v>
      </c>
      <c r="C424">
        <v>1.0000847098687</v>
      </c>
      <c r="D424">
        <v>1.45167301990682</v>
      </c>
      <c r="E424">
        <v>1.7783989834815801</v>
      </c>
      <c r="F424">
        <v>1.52062685302838</v>
      </c>
      <c r="G424">
        <v>1.9861922914019501</v>
      </c>
      <c r="H424">
        <v>1.32409995764507</v>
      </c>
      <c r="I424">
        <v>2.4941126641253701</v>
      </c>
      <c r="J424">
        <v>2.51096992799661</v>
      </c>
      <c r="K424">
        <v>2.2421008047437501</v>
      </c>
      <c r="L424">
        <v>11397.1909572447</v>
      </c>
      <c r="M424">
        <v>250</v>
      </c>
      <c r="O424">
        <v>45.585827952969197</v>
      </c>
      <c r="P424">
        <v>0.68551979154527498</v>
      </c>
      <c r="Q424">
        <v>1.5</v>
      </c>
      <c r="R424">
        <v>-1.0625208940209E-2</v>
      </c>
      <c r="S424" t="s">
        <v>2298</v>
      </c>
      <c r="T424" t="s">
        <v>3746</v>
      </c>
      <c r="U424" t="s">
        <v>3746</v>
      </c>
      <c r="V424" t="s">
        <v>3746</v>
      </c>
      <c r="W424" t="s">
        <v>4165</v>
      </c>
      <c r="X424">
        <v>3</v>
      </c>
      <c r="Y424" t="s">
        <v>6024</v>
      </c>
      <c r="Z424" t="s">
        <v>7812</v>
      </c>
      <c r="AA424">
        <v>1.406813932398185</v>
      </c>
      <c r="AB424" t="str">
        <f>HYPERLINK("Melting_Curves/meltCurve_G5E9W8_GYG1.pdf", "Melting_Curves/meltCurve_G5E9W8_GYG1.pdf")</f>
        <v>Melting_Curves/meltCurve_G5E9W8_GYG1.pdf</v>
      </c>
    </row>
    <row r="425" spans="1:28" x14ac:dyDescent="0.25">
      <c r="A425" t="s">
        <v>429</v>
      </c>
      <c r="B425">
        <v>1</v>
      </c>
      <c r="C425">
        <v>0.58482158248577798</v>
      </c>
      <c r="D425">
        <v>0.53363213239096696</v>
      </c>
      <c r="E425">
        <v>1.2450439579382899</v>
      </c>
      <c r="F425">
        <v>0.41643682123771802</v>
      </c>
      <c r="G425">
        <v>0.76287709015687</v>
      </c>
      <c r="H425">
        <v>0.17415962765040499</v>
      </c>
      <c r="I425">
        <v>0.73013273573521797</v>
      </c>
      <c r="J425">
        <v>0.24708670918807099</v>
      </c>
      <c r="K425">
        <v>0.36972073780382703</v>
      </c>
      <c r="L425">
        <v>235.201504670877</v>
      </c>
      <c r="M425">
        <v>3.8774954461915501</v>
      </c>
      <c r="N425">
        <v>60.658118362211901</v>
      </c>
      <c r="O425">
        <v>49.298701864732003</v>
      </c>
      <c r="P425">
        <v>-1.9942407890037699E-2</v>
      </c>
      <c r="Q425">
        <v>0</v>
      </c>
      <c r="R425">
        <v>0.279648482871794</v>
      </c>
      <c r="S425" t="s">
        <v>2299</v>
      </c>
      <c r="T425" t="s">
        <v>3746</v>
      </c>
      <c r="U425" t="s">
        <v>3746</v>
      </c>
      <c r="V425" t="s">
        <v>3746</v>
      </c>
      <c r="W425" t="s">
        <v>4166</v>
      </c>
      <c r="X425">
        <v>5</v>
      </c>
      <c r="Y425" t="s">
        <v>6025</v>
      </c>
      <c r="Z425" t="s">
        <v>7813</v>
      </c>
      <c r="AA425">
        <v>0.60996326109724486</v>
      </c>
      <c r="AB425" t="str">
        <f>HYPERLINK("Melting_Curves/meltCurve_G5EA09_SDCBP.pdf", "Melting_Curves/meltCurve_G5EA09_SDCBP.pdf")</f>
        <v>Melting_Curves/meltCurve_G5EA09_SDCBP.pdf</v>
      </c>
    </row>
    <row r="426" spans="1:28" x14ac:dyDescent="0.25">
      <c r="A426" t="s">
        <v>430</v>
      </c>
      <c r="B426">
        <v>1</v>
      </c>
      <c r="C426">
        <v>1.0262246840920899</v>
      </c>
      <c r="D426">
        <v>1.4167820668166899</v>
      </c>
      <c r="E426">
        <v>2.0895360913969201</v>
      </c>
      <c r="F426">
        <v>1.7155530552189699</v>
      </c>
      <c r="G426">
        <v>2.16591656569154</v>
      </c>
      <c r="H426">
        <v>1.78306214298079</v>
      </c>
      <c r="I426">
        <v>2.7617275402458001</v>
      </c>
      <c r="J426">
        <v>2.8853211009174302</v>
      </c>
      <c r="K426">
        <v>2.6836593387571401</v>
      </c>
      <c r="L426">
        <v>3395.8572386884898</v>
      </c>
      <c r="M426">
        <v>75.504952766442898</v>
      </c>
      <c r="O426">
        <v>44.943773694232398</v>
      </c>
      <c r="P426">
        <v>0.20999840969950301</v>
      </c>
      <c r="Q426">
        <v>1.5</v>
      </c>
      <c r="R426">
        <v>-0.36826977234150998</v>
      </c>
      <c r="S426" t="s">
        <v>2300</v>
      </c>
      <c r="T426" t="s">
        <v>3746</v>
      </c>
      <c r="U426" t="s">
        <v>3746</v>
      </c>
      <c r="V426" t="s">
        <v>3746</v>
      </c>
      <c r="W426" t="s">
        <v>4167</v>
      </c>
      <c r="X426">
        <v>18</v>
      </c>
      <c r="Y426" t="s">
        <v>6026</v>
      </c>
      <c r="Z426" t="s">
        <v>7814</v>
      </c>
      <c r="AA426">
        <v>1.4166442213866659</v>
      </c>
      <c r="AB426" t="str">
        <f>HYPERLINK("Melting_Curves/meltCurve_G5EA52_PDIA3.pdf", "Melting_Curves/meltCurve_G5EA52_PDIA3.pdf")</f>
        <v>Melting_Curves/meltCurve_G5EA52_PDIA3.pdf</v>
      </c>
    </row>
    <row r="427" spans="1:28" x14ac:dyDescent="0.25">
      <c r="A427" t="s">
        <v>431</v>
      </c>
      <c r="B427">
        <v>1</v>
      </c>
      <c r="C427">
        <v>1.0230778018964899</v>
      </c>
      <c r="D427">
        <v>1.4332863653096699</v>
      </c>
      <c r="E427">
        <v>1.8009063559160701</v>
      </c>
      <c r="F427">
        <v>1.06595833809361</v>
      </c>
      <c r="G427">
        <v>1.1824136486537999</v>
      </c>
      <c r="H427">
        <v>0.81866534648438005</v>
      </c>
      <c r="I427">
        <v>1.28197316475621</v>
      </c>
      <c r="J427">
        <v>1.0969572337103499</v>
      </c>
      <c r="K427">
        <v>1.00845424425911</v>
      </c>
      <c r="L427">
        <v>10814.984049573401</v>
      </c>
      <c r="M427">
        <v>250</v>
      </c>
      <c r="O427">
        <v>43.257166130500998</v>
      </c>
      <c r="P427">
        <v>0.30497377284191501</v>
      </c>
      <c r="Q427">
        <v>1.21107682666123</v>
      </c>
      <c r="R427">
        <v>9.1883132656966598E-2</v>
      </c>
      <c r="S427" t="s">
        <v>2301</v>
      </c>
      <c r="T427" t="s">
        <v>3746</v>
      </c>
      <c r="U427" t="s">
        <v>3746</v>
      </c>
      <c r="V427" t="s">
        <v>3746</v>
      </c>
      <c r="W427" t="s">
        <v>4168</v>
      </c>
      <c r="X427">
        <v>2</v>
      </c>
      <c r="Y427" t="s">
        <v>6027</v>
      </c>
      <c r="Z427" t="s">
        <v>7815</v>
      </c>
      <c r="AA427">
        <v>1.188124235336637</v>
      </c>
      <c r="AB427" t="str">
        <f>HYPERLINK("Melting_Curves/meltCurve_G8JL88_APOL1.pdf", "Melting_Curves/meltCurve_G8JL88_APOL1.pdf")</f>
        <v>Melting_Curves/meltCurve_G8JL88_APOL1.pdf</v>
      </c>
    </row>
    <row r="428" spans="1:28" x14ac:dyDescent="0.25">
      <c r="A428" t="s">
        <v>432</v>
      </c>
      <c r="B428">
        <v>1</v>
      </c>
      <c r="C428">
        <v>1.16251374129718</v>
      </c>
      <c r="D428">
        <v>2.28568156834005</v>
      </c>
      <c r="E428">
        <v>3.1849120556980601</v>
      </c>
      <c r="F428">
        <v>2.29864419201173</v>
      </c>
      <c r="G428">
        <v>2.57085928911689</v>
      </c>
      <c r="H428">
        <v>1.8506320996702099</v>
      </c>
      <c r="I428">
        <v>2.49812202271894</v>
      </c>
      <c r="J428">
        <v>2.64029864419201</v>
      </c>
      <c r="K428">
        <v>2.4065133748625902</v>
      </c>
      <c r="L428">
        <v>10756.3495753306</v>
      </c>
      <c r="M428">
        <v>250</v>
      </c>
      <c r="O428">
        <v>43.022645219724197</v>
      </c>
      <c r="P428">
        <v>0.72636166522970902</v>
      </c>
      <c r="Q428">
        <v>1.5</v>
      </c>
      <c r="R428">
        <v>-1.07514251287596</v>
      </c>
      <c r="S428" t="s">
        <v>2302</v>
      </c>
      <c r="T428" t="s">
        <v>3746</v>
      </c>
      <c r="U428" t="s">
        <v>3746</v>
      </c>
      <c r="V428" t="s">
        <v>3746</v>
      </c>
      <c r="W428" t="s">
        <v>4169</v>
      </c>
      <c r="X428">
        <v>5</v>
      </c>
      <c r="Y428" t="s">
        <v>6028</v>
      </c>
      <c r="Z428" t="s">
        <v>7816</v>
      </c>
      <c r="AA428">
        <v>1.4495389405106569</v>
      </c>
      <c r="AB428" t="str">
        <f>HYPERLINK("Melting_Curves/meltCurve_G8JLA8_TGFBI.pdf", "Melting_Curves/meltCurve_G8JLA8_TGFBI.pdf")</f>
        <v>Melting_Curves/meltCurve_G8JLA8_TGFBI.pdf</v>
      </c>
    </row>
    <row r="429" spans="1:28" x14ac:dyDescent="0.25">
      <c r="A429" t="s">
        <v>433</v>
      </c>
      <c r="B429">
        <v>1</v>
      </c>
      <c r="C429">
        <v>0.98424042514201904</v>
      </c>
      <c r="D429">
        <v>1.39135055891515</v>
      </c>
      <c r="E429">
        <v>1.5976910390324399</v>
      </c>
      <c r="F429">
        <v>1.34982591167308</v>
      </c>
      <c r="G429">
        <v>1.4416345977643401</v>
      </c>
      <c r="H429">
        <v>0.71673080447132098</v>
      </c>
      <c r="I429">
        <v>1.2866043613707201</v>
      </c>
      <c r="J429">
        <v>1.22536192046912</v>
      </c>
      <c r="K429">
        <v>1.12329118563313</v>
      </c>
      <c r="L429">
        <v>11054.7423323485</v>
      </c>
      <c r="M429">
        <v>250</v>
      </c>
      <c r="O429">
        <v>44.216133677628001</v>
      </c>
      <c r="P429">
        <v>0.37678760710012199</v>
      </c>
      <c r="Q429">
        <v>1.26656149477632</v>
      </c>
      <c r="R429">
        <v>0.197865603738547</v>
      </c>
      <c r="S429" t="s">
        <v>2303</v>
      </c>
      <c r="T429" t="s">
        <v>3746</v>
      </c>
      <c r="U429" t="s">
        <v>3746</v>
      </c>
      <c r="V429" t="s">
        <v>3746</v>
      </c>
      <c r="W429" t="s">
        <v>4170</v>
      </c>
      <c r="X429">
        <v>5</v>
      </c>
      <c r="Y429" t="s">
        <v>6029</v>
      </c>
      <c r="Z429" t="s">
        <v>7817</v>
      </c>
      <c r="AA429">
        <v>1.229053649615282</v>
      </c>
      <c r="AB429" t="str">
        <f>HYPERLINK("Melting_Curves/meltCurve_G8JLC6_MIA3.pdf", "Melting_Curves/meltCurve_G8JLC6_MIA3.pdf")</f>
        <v>Melting_Curves/meltCurve_G8JLC6_MIA3.pdf</v>
      </c>
    </row>
    <row r="430" spans="1:28" x14ac:dyDescent="0.25">
      <c r="A430" t="s">
        <v>434</v>
      </c>
      <c r="B430">
        <v>1</v>
      </c>
      <c r="C430">
        <v>0.98295454545454497</v>
      </c>
      <c r="D430">
        <v>1.34267883755589</v>
      </c>
      <c r="E430">
        <v>1.65499254843517</v>
      </c>
      <c r="F430">
        <v>1.22289493293592</v>
      </c>
      <c r="G430">
        <v>1.54955290611028</v>
      </c>
      <c r="H430">
        <v>0.95128539493293596</v>
      </c>
      <c r="I430">
        <v>1.5544895678092401</v>
      </c>
      <c r="J430">
        <v>1.3866430700447101</v>
      </c>
      <c r="K430">
        <v>1.3226527570789901</v>
      </c>
      <c r="L430">
        <v>11394.8200224965</v>
      </c>
      <c r="M430">
        <v>250</v>
      </c>
      <c r="O430">
        <v>45.576363330192002</v>
      </c>
      <c r="P430">
        <v>0.51767733029212903</v>
      </c>
      <c r="Q430">
        <v>1.3775016009508501</v>
      </c>
      <c r="R430">
        <v>0.40283406536864602</v>
      </c>
      <c r="S430" t="s">
        <v>2304</v>
      </c>
      <c r="T430" t="s">
        <v>3746</v>
      </c>
      <c r="U430" t="s">
        <v>3746</v>
      </c>
      <c r="V430" t="s">
        <v>3746</v>
      </c>
      <c r="W430" t="s">
        <v>4171</v>
      </c>
      <c r="X430">
        <v>3</v>
      </c>
      <c r="Y430" t="s">
        <v>6030</v>
      </c>
      <c r="Z430" t="s">
        <v>7818</v>
      </c>
      <c r="AA430">
        <v>1.3072651653770111</v>
      </c>
      <c r="AB430" t="str">
        <f>HYPERLINK("Melting_Curves/meltCurve_H0Y3D0_ENTPD6.pdf", "Melting_Curves/meltCurve_H0Y3D0_ENTPD6.pdf")</f>
        <v>Melting_Curves/meltCurve_H0Y3D0_ENTPD6.pdf</v>
      </c>
    </row>
    <row r="431" spans="1:28" x14ac:dyDescent="0.25">
      <c r="A431" t="s">
        <v>435</v>
      </c>
      <c r="B431">
        <v>1</v>
      </c>
      <c r="C431">
        <v>0.94258874070448795</v>
      </c>
      <c r="D431">
        <v>1.82049295104477</v>
      </c>
      <c r="E431">
        <v>2.07267833109018</v>
      </c>
      <c r="F431">
        <v>1.4307271911578801</v>
      </c>
      <c r="G431">
        <v>1.57986323531411</v>
      </c>
      <c r="H431">
        <v>0.98792772951588603</v>
      </c>
      <c r="I431">
        <v>1.6384572508394899</v>
      </c>
      <c r="J431">
        <v>1.6691817230175201</v>
      </c>
      <c r="K431">
        <v>1.4435063964000701</v>
      </c>
      <c r="L431">
        <v>11062.329998077401</v>
      </c>
      <c r="M431">
        <v>250</v>
      </c>
      <c r="O431">
        <v>44.2464910080556</v>
      </c>
      <c r="P431">
        <v>0.70627073955010999</v>
      </c>
      <c r="Q431">
        <v>1.5</v>
      </c>
      <c r="R431">
        <v>0.41597749083255697</v>
      </c>
      <c r="S431" t="s">
        <v>2305</v>
      </c>
      <c r="T431" t="s">
        <v>3746</v>
      </c>
      <c r="U431" t="s">
        <v>3746</v>
      </c>
      <c r="V431" t="s">
        <v>3746</v>
      </c>
      <c r="W431" t="s">
        <v>4172</v>
      </c>
      <c r="X431">
        <v>2</v>
      </c>
      <c r="Y431" t="s">
        <v>6031</v>
      </c>
      <c r="Z431" t="s">
        <v>7819</v>
      </c>
      <c r="AA431">
        <v>1.4291391716942079</v>
      </c>
      <c r="AB431" t="str">
        <f>HYPERLINK("Melting_Curves/meltCurve_H0Y3V5_THADA.pdf", "Melting_Curves/meltCurve_H0Y3V5_THADA.pdf")</f>
        <v>Melting_Curves/meltCurve_H0Y3V5_THADA.pdf</v>
      </c>
    </row>
    <row r="432" spans="1:28" x14ac:dyDescent="0.25">
      <c r="A432" t="s">
        <v>436</v>
      </c>
      <c r="B432">
        <v>1</v>
      </c>
      <c r="C432">
        <v>0.83961313721539399</v>
      </c>
      <c r="D432">
        <v>1.0718651353348101</v>
      </c>
      <c r="E432">
        <v>1.2425280408355199</v>
      </c>
      <c r="F432">
        <v>0.70219625226677396</v>
      </c>
      <c r="G432">
        <v>0.92155282423265505</v>
      </c>
      <c r="H432">
        <v>0.44936530324400598</v>
      </c>
      <c r="I432">
        <v>0.79454630935589998</v>
      </c>
      <c r="J432">
        <v>0.81973268856202597</v>
      </c>
      <c r="K432">
        <v>0.68459936866142801</v>
      </c>
      <c r="L432">
        <v>8032.3902025636098</v>
      </c>
      <c r="M432">
        <v>155.02358753627701</v>
      </c>
      <c r="O432">
        <v>51.8053657217744</v>
      </c>
      <c r="P432">
        <v>-0.20361210483110001</v>
      </c>
      <c r="Q432">
        <v>0.727829819493369</v>
      </c>
      <c r="R432">
        <v>0.50262042220316505</v>
      </c>
      <c r="S432" t="s">
        <v>2306</v>
      </c>
      <c r="T432" t="s">
        <v>3746</v>
      </c>
      <c r="U432" t="s">
        <v>3746</v>
      </c>
      <c r="V432" t="s">
        <v>3746</v>
      </c>
      <c r="W432" t="s">
        <v>4173</v>
      </c>
      <c r="X432">
        <v>3</v>
      </c>
      <c r="Y432" t="s">
        <v>6032</v>
      </c>
      <c r="Z432" t="s">
        <v>7820</v>
      </c>
      <c r="AA432">
        <v>0.83507470890010227</v>
      </c>
      <c r="AB432" t="str">
        <f>HYPERLINK("Melting_Curves/meltCurve_H0Y449_YBX1.pdf", "Melting_Curves/meltCurve_H0Y449_YBX1.pdf")</f>
        <v>Melting_Curves/meltCurve_H0Y449_YBX1.pdf</v>
      </c>
    </row>
    <row r="433" spans="1:28" x14ac:dyDescent="0.25">
      <c r="A433" t="s">
        <v>437</v>
      </c>
      <c r="B433">
        <v>1</v>
      </c>
      <c r="C433">
        <v>0.95783507446099103</v>
      </c>
      <c r="D433">
        <v>1.1921093576350299</v>
      </c>
      <c r="E433">
        <v>1.34207601689264</v>
      </c>
      <c r="F433">
        <v>1.32444987775061</v>
      </c>
      <c r="G433">
        <v>1.2551455879084199</v>
      </c>
      <c r="H433">
        <v>0.64203156256946003</v>
      </c>
      <c r="I433">
        <v>0.97452767281618102</v>
      </c>
      <c r="J433">
        <v>1.0318292953989801</v>
      </c>
      <c r="K433">
        <v>0.84834407646143595</v>
      </c>
      <c r="L433">
        <v>1033.70239026122</v>
      </c>
      <c r="M433">
        <v>12.8051698828139</v>
      </c>
      <c r="Q433">
        <v>0</v>
      </c>
      <c r="R433">
        <v>-2.4676181927305099E-2</v>
      </c>
      <c r="S433" t="s">
        <v>2307</v>
      </c>
      <c r="T433" t="s">
        <v>3746</v>
      </c>
      <c r="U433" t="s">
        <v>3746</v>
      </c>
      <c r="V433" t="s">
        <v>3746</v>
      </c>
      <c r="W433" t="s">
        <v>4174</v>
      </c>
      <c r="X433">
        <v>1</v>
      </c>
      <c r="Y433" t="s">
        <v>6033</v>
      </c>
      <c r="Z433" t="s">
        <v>7821</v>
      </c>
      <c r="AA433">
        <v>0.9816485945809712</v>
      </c>
      <c r="AB433" t="str">
        <f>HYPERLINK("Melting_Curves/meltCurve_H0Y4H3_CD99L2.pdf", "Melting_Curves/meltCurve_H0Y4H3_CD99L2.pdf")</f>
        <v>Melting_Curves/meltCurve_H0Y4H3_CD99L2.pdf</v>
      </c>
    </row>
    <row r="434" spans="1:28" x14ac:dyDescent="0.25">
      <c r="A434" t="s">
        <v>438</v>
      </c>
      <c r="B434">
        <v>1</v>
      </c>
      <c r="C434">
        <v>0.83471154781593504</v>
      </c>
      <c r="D434">
        <v>0.95951940850277295</v>
      </c>
      <c r="E434">
        <v>1.2251191750170201</v>
      </c>
      <c r="F434">
        <v>1.18542659791809</v>
      </c>
      <c r="G434">
        <v>1.29545675649382</v>
      </c>
      <c r="H434">
        <v>0.80776340110905698</v>
      </c>
      <c r="I434">
        <v>1.2768751824107401</v>
      </c>
      <c r="J434">
        <v>1.6152349450335599</v>
      </c>
      <c r="K434">
        <v>1.3794143399163299</v>
      </c>
      <c r="L434">
        <v>544.28873920637</v>
      </c>
      <c r="M434">
        <v>8.8732273174183298</v>
      </c>
      <c r="O434">
        <v>58.464784807034398</v>
      </c>
      <c r="P434">
        <v>1.8985847218545099E-2</v>
      </c>
      <c r="Q434">
        <v>1.5</v>
      </c>
      <c r="R434">
        <v>0.39970568619378599</v>
      </c>
      <c r="S434" t="s">
        <v>2308</v>
      </c>
      <c r="T434" t="s">
        <v>3746</v>
      </c>
      <c r="U434" t="s">
        <v>3746</v>
      </c>
      <c r="V434" t="s">
        <v>3746</v>
      </c>
      <c r="W434" t="s">
        <v>4175</v>
      </c>
      <c r="X434">
        <v>1</v>
      </c>
      <c r="Y434" t="s">
        <v>6034</v>
      </c>
      <c r="Z434" t="s">
        <v>7822</v>
      </c>
      <c r="AA434">
        <v>1.1554534366739899</v>
      </c>
      <c r="AB434" t="str">
        <f>HYPERLINK("Melting_Curves/meltCurve_H0Y4T6_PIN4.pdf", "Melting_Curves/meltCurve_H0Y4T6_PIN4.pdf")</f>
        <v>Melting_Curves/meltCurve_H0Y4T6_PIN4.pdf</v>
      </c>
    </row>
    <row r="435" spans="1:28" x14ac:dyDescent="0.25">
      <c r="A435" t="s">
        <v>439</v>
      </c>
      <c r="B435">
        <v>1</v>
      </c>
      <c r="C435">
        <v>1.1390221511490199</v>
      </c>
      <c r="D435">
        <v>1.2925995024875601</v>
      </c>
      <c r="E435">
        <v>1.6503790570954699</v>
      </c>
      <c r="F435">
        <v>0.98514866145463198</v>
      </c>
      <c r="G435">
        <v>0.73344586590855199</v>
      </c>
      <c r="H435">
        <v>0.923403814262023</v>
      </c>
      <c r="I435">
        <v>0.95623075100687005</v>
      </c>
      <c r="J435">
        <v>0.99046434494195701</v>
      </c>
      <c r="K435">
        <v>0.99144160151622795</v>
      </c>
      <c r="L435">
        <v>10232.9461320391</v>
      </c>
      <c r="M435">
        <v>250</v>
      </c>
      <c r="O435">
        <v>40.929173694508101</v>
      </c>
      <c r="P435">
        <v>0.112344365293436</v>
      </c>
      <c r="Q435">
        <v>1.0735705772836199</v>
      </c>
      <c r="R435">
        <v>8.6474961408613497E-3</v>
      </c>
      <c r="S435" t="s">
        <v>2309</v>
      </c>
      <c r="T435" t="s">
        <v>3746</v>
      </c>
      <c r="U435" t="s">
        <v>3746</v>
      </c>
      <c r="V435" t="s">
        <v>3746</v>
      </c>
      <c r="W435" t="s">
        <v>4176</v>
      </c>
      <c r="X435">
        <v>2</v>
      </c>
      <c r="Y435" t="s">
        <v>6035</v>
      </c>
      <c r="Z435" t="s">
        <v>7823</v>
      </c>
      <c r="AA435">
        <v>1.071279104845416</v>
      </c>
      <c r="AB435" t="str">
        <f>HYPERLINK("Melting_Curves/meltCurve_H0Y4U3_FCGR3B.pdf", "Melting_Curves/meltCurve_H0Y4U3_FCGR3B.pdf")</f>
        <v>Melting_Curves/meltCurve_H0Y4U3_FCGR3B.pdf</v>
      </c>
    </row>
    <row r="436" spans="1:28" x14ac:dyDescent="0.25">
      <c r="A436" t="s">
        <v>440</v>
      </c>
      <c r="B436">
        <v>1</v>
      </c>
      <c r="C436">
        <v>0.79662799256896499</v>
      </c>
      <c r="D436">
        <v>1.2776122541974799</v>
      </c>
      <c r="E436">
        <v>1.1202635914332799</v>
      </c>
      <c r="F436">
        <v>1.61421711241193</v>
      </c>
      <c r="G436">
        <v>1.61908934768131</v>
      </c>
      <c r="H436">
        <v>0.87637141154614595</v>
      </c>
      <c r="I436">
        <v>1.44239195204879</v>
      </c>
      <c r="J436">
        <v>1.5439026955028201</v>
      </c>
      <c r="K436">
        <v>1.31981492516387</v>
      </c>
      <c r="L436">
        <v>11445.3825429586</v>
      </c>
      <c r="M436">
        <v>250</v>
      </c>
      <c r="O436">
        <v>45.778600334815799</v>
      </c>
      <c r="P436">
        <v>0.494626593077512</v>
      </c>
      <c r="Q436">
        <v>1.36229301045831</v>
      </c>
      <c r="R436">
        <v>0.382989862970884</v>
      </c>
      <c r="S436" t="s">
        <v>2310</v>
      </c>
      <c r="T436" t="s">
        <v>3746</v>
      </c>
      <c r="U436" t="s">
        <v>3746</v>
      </c>
      <c r="V436" t="s">
        <v>3746</v>
      </c>
      <c r="W436" t="s">
        <v>4177</v>
      </c>
      <c r="X436">
        <v>1</v>
      </c>
      <c r="Y436" t="s">
        <v>6036</v>
      </c>
      <c r="Z436" t="s">
        <v>7824</v>
      </c>
      <c r="AA436">
        <v>1.292443636009809</v>
      </c>
      <c r="AB436" t="str">
        <f>HYPERLINK("Melting_Curves/meltCurve_H0Y555_PSMF1.pdf", "Melting_Curves/meltCurve_H0Y555_PSMF1.pdf")</f>
        <v>Melting_Curves/meltCurve_H0Y555_PSMF1.pdf</v>
      </c>
    </row>
    <row r="437" spans="1:28" x14ac:dyDescent="0.25">
      <c r="A437" t="s">
        <v>441</v>
      </c>
      <c r="B437">
        <v>1</v>
      </c>
      <c r="C437">
        <v>0.97587485614423897</v>
      </c>
      <c r="D437">
        <v>1.2065981842206199</v>
      </c>
      <c r="E437">
        <v>1.4233408635608</v>
      </c>
      <c r="F437">
        <v>1.1437705127658699</v>
      </c>
      <c r="G437">
        <v>1.1603085972464899</v>
      </c>
      <c r="H437">
        <v>1.0737393972976399</v>
      </c>
      <c r="I437">
        <v>1.1663185712459001</v>
      </c>
      <c r="J437">
        <v>1.1420229316738399</v>
      </c>
      <c r="K437">
        <v>0.93410340565193295</v>
      </c>
      <c r="L437">
        <v>11084.186125410301</v>
      </c>
      <c r="M437">
        <v>250</v>
      </c>
      <c r="O437">
        <v>44.333907729378097</v>
      </c>
      <c r="P437">
        <v>0.22031131310773699</v>
      </c>
      <c r="Q437">
        <v>1.1562761809393201</v>
      </c>
      <c r="R437">
        <v>0.255742152306904</v>
      </c>
      <c r="S437" t="s">
        <v>2311</v>
      </c>
      <c r="T437" t="s">
        <v>3746</v>
      </c>
      <c r="U437" t="s">
        <v>3746</v>
      </c>
      <c r="V437" t="s">
        <v>3746</v>
      </c>
      <c r="W437" t="s">
        <v>4178</v>
      </c>
      <c r="X437">
        <v>3</v>
      </c>
      <c r="Y437" t="s">
        <v>6037</v>
      </c>
      <c r="Z437" t="s">
        <v>7825</v>
      </c>
      <c r="AA437">
        <v>1.133673025429131</v>
      </c>
      <c r="AB437" t="str">
        <f>HYPERLINK("Melting_Curves/meltCurve_H0Y5A1_PTGDS.pdf", "Melting_Curves/meltCurve_H0Y5A1_PTGDS.pdf")</f>
        <v>Melting_Curves/meltCurve_H0Y5A1_PTGDS.pdf</v>
      </c>
    </row>
    <row r="438" spans="1:28" x14ac:dyDescent="0.25">
      <c r="A438" t="s">
        <v>442</v>
      </c>
      <c r="B438">
        <v>1</v>
      </c>
      <c r="C438">
        <v>1.08726785818245</v>
      </c>
      <c r="D438">
        <v>1.35075973685743</v>
      </c>
      <c r="E438">
        <v>1.6158234848925901</v>
      </c>
      <c r="F438">
        <v>1.0203760842987699</v>
      </c>
      <c r="G438">
        <v>1.4971182395063201</v>
      </c>
      <c r="H438">
        <v>0.75135355417127603</v>
      </c>
      <c r="I438">
        <v>1.30331256913314</v>
      </c>
      <c r="J438">
        <v>1.16073819642545</v>
      </c>
      <c r="K438">
        <v>1.0785934680095499</v>
      </c>
      <c r="L438">
        <v>10743.714238487501</v>
      </c>
      <c r="M438">
        <v>250</v>
      </c>
      <c r="O438">
        <v>42.972106774086001</v>
      </c>
      <c r="P438">
        <v>0.32326116910003599</v>
      </c>
      <c r="Q438">
        <v>1.2222594157142901</v>
      </c>
      <c r="R438">
        <v>9.2151430082670502E-2</v>
      </c>
      <c r="S438" t="s">
        <v>2312</v>
      </c>
      <c r="T438" t="s">
        <v>3746</v>
      </c>
      <c r="U438" t="s">
        <v>3746</v>
      </c>
      <c r="V438" t="s">
        <v>3746</v>
      </c>
      <c r="W438" t="s">
        <v>4179</v>
      </c>
      <c r="X438">
        <v>2</v>
      </c>
      <c r="Y438" t="s">
        <v>6038</v>
      </c>
      <c r="Z438" t="s">
        <v>7826</v>
      </c>
      <c r="AA438">
        <v>1.200202987240397</v>
      </c>
      <c r="AB438" t="str">
        <f>HYPERLINK("Melting_Curves/meltCurve_H0Y614_UFM1.pdf", "Melting_Curves/meltCurve_H0Y614_UFM1.pdf")</f>
        <v>Melting_Curves/meltCurve_H0Y614_UFM1.pdf</v>
      </c>
    </row>
    <row r="439" spans="1:28" x14ac:dyDescent="0.25">
      <c r="A439" t="s">
        <v>443</v>
      </c>
      <c r="B439">
        <v>1</v>
      </c>
      <c r="C439">
        <v>1.63818775840634</v>
      </c>
      <c r="D439">
        <v>2.5729320264839401</v>
      </c>
      <c r="E439">
        <v>3.8054760459132</v>
      </c>
      <c r="F439">
        <v>3.0975511030155798</v>
      </c>
      <c r="G439">
        <v>4.3754879000780598</v>
      </c>
      <c r="H439">
        <v>1.7015063463150899</v>
      </c>
      <c r="I439">
        <v>4.4882470292306396</v>
      </c>
      <c r="J439">
        <v>3.8141498250787902</v>
      </c>
      <c r="K439">
        <v>3.8604099806285599</v>
      </c>
      <c r="L439">
        <v>10248.6348243066</v>
      </c>
      <c r="M439">
        <v>250</v>
      </c>
      <c r="O439">
        <v>40.991926063175498</v>
      </c>
      <c r="P439">
        <v>0.76234543583679704</v>
      </c>
      <c r="Q439">
        <v>1.5</v>
      </c>
      <c r="R439">
        <v>-1.68057858008903</v>
      </c>
      <c r="S439" t="s">
        <v>2313</v>
      </c>
      <c r="T439" t="s">
        <v>3746</v>
      </c>
      <c r="U439" t="s">
        <v>3746</v>
      </c>
      <c r="V439" t="s">
        <v>3746</v>
      </c>
      <c r="W439" t="s">
        <v>4180</v>
      </c>
      <c r="X439">
        <v>1</v>
      </c>
      <c r="Y439" t="s">
        <v>6039</v>
      </c>
      <c r="Z439" t="s">
        <v>7827</v>
      </c>
      <c r="AA439">
        <v>1.483383220544102</v>
      </c>
      <c r="AB439" t="str">
        <f>HYPERLINK("Melting_Curves/meltCurve_H0Y6T4_ACADSB.pdf", "Melting_Curves/meltCurve_H0Y6T4_ACADSB.pdf")</f>
        <v>Melting_Curves/meltCurve_H0Y6T4_ACADSB.pdf</v>
      </c>
    </row>
    <row r="440" spans="1:28" x14ac:dyDescent="0.25">
      <c r="A440" t="s">
        <v>444</v>
      </c>
      <c r="B440">
        <v>1</v>
      </c>
      <c r="C440">
        <v>1.0556241511297699</v>
      </c>
      <c r="D440">
        <v>1.44808000987776</v>
      </c>
      <c r="E440">
        <v>2.0337696011853299</v>
      </c>
      <c r="F440">
        <v>0.88251636004445</v>
      </c>
      <c r="G440">
        <v>0.503747376219286</v>
      </c>
      <c r="H440">
        <v>1.0300654401778</v>
      </c>
      <c r="I440">
        <v>0.94184467218175105</v>
      </c>
      <c r="J440">
        <v>1.2406469934559801</v>
      </c>
      <c r="K440">
        <v>1.28509692554636</v>
      </c>
      <c r="L440">
        <v>10756.194852622401</v>
      </c>
      <c r="M440">
        <v>250</v>
      </c>
      <c r="O440">
        <v>43.022026366773197</v>
      </c>
      <c r="P440">
        <v>0.24801382556784701</v>
      </c>
      <c r="Q440">
        <v>1.1707209162674499</v>
      </c>
      <c r="R440">
        <v>2.32173117701178E-2</v>
      </c>
      <c r="S440" t="s">
        <v>2314</v>
      </c>
      <c r="T440" t="s">
        <v>3746</v>
      </c>
      <c r="U440" t="s">
        <v>3746</v>
      </c>
      <c r="V440" t="s">
        <v>3746</v>
      </c>
      <c r="W440" t="s">
        <v>4181</v>
      </c>
      <c r="X440">
        <v>1</v>
      </c>
      <c r="Y440" t="s">
        <v>6040</v>
      </c>
      <c r="Z440" t="s">
        <v>7828</v>
      </c>
      <c r="AA440">
        <v>1.1534949217494981</v>
      </c>
      <c r="AB440" t="str">
        <f>HYPERLINK("Melting_Curves/meltCurve_H0Y6W5_BNC2.pdf", "Melting_Curves/meltCurve_H0Y6W5_BNC2.pdf")</f>
        <v>Melting_Curves/meltCurve_H0Y6W5_BNC2.pdf</v>
      </c>
    </row>
    <row r="441" spans="1:28" x14ac:dyDescent="0.25">
      <c r="A441" t="s">
        <v>445</v>
      </c>
      <c r="B441">
        <v>1</v>
      </c>
      <c r="C441">
        <v>1.1898258544692499</v>
      </c>
      <c r="D441">
        <v>1.5162222703952599</v>
      </c>
      <c r="E441">
        <v>2.2156225160777501</v>
      </c>
      <c r="F441">
        <v>2.02998771587542</v>
      </c>
      <c r="G441">
        <v>2.0807861839728301</v>
      </c>
      <c r="H441">
        <v>1.85916612471999</v>
      </c>
      <c r="I441">
        <v>2.2888214466363199</v>
      </c>
      <c r="J441">
        <v>2.4858732567381998</v>
      </c>
      <c r="K441">
        <v>2.2979261507334301</v>
      </c>
      <c r="S441" t="s">
        <v>2315</v>
      </c>
      <c r="T441" t="s">
        <v>3746</v>
      </c>
      <c r="U441" t="s">
        <v>3747</v>
      </c>
      <c r="V441" t="s">
        <v>3746</v>
      </c>
      <c r="W441" t="s">
        <v>4182</v>
      </c>
      <c r="X441">
        <v>2</v>
      </c>
      <c r="Y441" t="s">
        <v>6041</v>
      </c>
      <c r="Z441" t="s">
        <v>7829</v>
      </c>
      <c r="AB441" t="str">
        <f>HYPERLINK("Melting_Curves/meltCurve_H0Y750_ATP6AP2.pdf", "Melting_Curves/meltCurve_H0Y750_ATP6AP2.pdf")</f>
        <v>Melting_Curves/meltCurve_H0Y750_ATP6AP2.pdf</v>
      </c>
    </row>
    <row r="442" spans="1:28" x14ac:dyDescent="0.25">
      <c r="A442" t="s">
        <v>446</v>
      </c>
      <c r="B442">
        <v>1</v>
      </c>
      <c r="C442">
        <v>1.0681778764438601</v>
      </c>
      <c r="D442">
        <v>1.3066356793506499</v>
      </c>
      <c r="E442">
        <v>1.5650733636269001</v>
      </c>
      <c r="F442">
        <v>1.21388185507649</v>
      </c>
      <c r="G442">
        <v>1.61438135211072</v>
      </c>
      <c r="H442">
        <v>0.75698081792639405</v>
      </c>
      <c r="I442">
        <v>1.40223386173645</v>
      </c>
      <c r="J442">
        <v>1.2777411634118401</v>
      </c>
      <c r="K442">
        <v>1.1033681362516901</v>
      </c>
      <c r="L442">
        <v>10773.6400720358</v>
      </c>
      <c r="M442">
        <v>250</v>
      </c>
      <c r="O442">
        <v>43.091802557438399</v>
      </c>
      <c r="P442">
        <v>0.406163435457219</v>
      </c>
      <c r="Q442">
        <v>1.28003703251064</v>
      </c>
      <c r="R442">
        <v>0.16064019393603499</v>
      </c>
      <c r="S442" t="s">
        <v>2316</v>
      </c>
      <c r="T442" t="s">
        <v>3746</v>
      </c>
      <c r="U442" t="s">
        <v>3746</v>
      </c>
      <c r="V442" t="s">
        <v>3746</v>
      </c>
      <c r="W442" t="s">
        <v>4183</v>
      </c>
      <c r="X442">
        <v>3</v>
      </c>
      <c r="Y442" t="s">
        <v>6042</v>
      </c>
      <c r="Z442" t="s">
        <v>7830</v>
      </c>
      <c r="AA442">
        <v>1.2511294705580189</v>
      </c>
      <c r="AB442" t="str">
        <f>HYPERLINK("Melting_Curves/meltCurve_H0Y7F0_CAST.pdf", "Melting_Curves/meltCurve_H0Y7F0_CAST.pdf")</f>
        <v>Melting_Curves/meltCurve_H0Y7F0_CAST.pdf</v>
      </c>
    </row>
    <row r="443" spans="1:28" x14ac:dyDescent="0.25">
      <c r="A443" t="s">
        <v>447</v>
      </c>
      <c r="B443">
        <v>1</v>
      </c>
      <c r="C443">
        <v>1.09111018261361</v>
      </c>
      <c r="D443">
        <v>1.35571558483054</v>
      </c>
      <c r="E443">
        <v>1.4965468085629301</v>
      </c>
      <c r="F443">
        <v>1.46105635706737</v>
      </c>
      <c r="G443">
        <v>1.29645832821294</v>
      </c>
      <c r="H443">
        <v>0.80126330277484203</v>
      </c>
      <c r="I443">
        <v>1.1895937277263</v>
      </c>
      <c r="J443">
        <v>1.0176223363728001</v>
      </c>
      <c r="K443">
        <v>1.0086759898739199</v>
      </c>
      <c r="L443">
        <v>10733.953874897299</v>
      </c>
      <c r="M443">
        <v>250</v>
      </c>
      <c r="O443">
        <v>42.933067901946302</v>
      </c>
      <c r="P443">
        <v>0.29605174267582801</v>
      </c>
      <c r="Q443">
        <v>1.2033665528480399</v>
      </c>
      <c r="R443">
        <v>9.5127053205273093E-2</v>
      </c>
      <c r="S443" t="s">
        <v>2317</v>
      </c>
      <c r="T443" t="s">
        <v>3746</v>
      </c>
      <c r="U443" t="s">
        <v>3746</v>
      </c>
      <c r="V443" t="s">
        <v>3746</v>
      </c>
      <c r="W443" t="s">
        <v>4184</v>
      </c>
      <c r="X443">
        <v>5</v>
      </c>
      <c r="Y443" t="s">
        <v>6043</v>
      </c>
      <c r="Z443" t="s">
        <v>7831</v>
      </c>
      <c r="AA443">
        <v>1.183449672892585</v>
      </c>
      <c r="AB443" t="str">
        <f>HYPERLINK("Melting_Curves/meltCurve_H0Y7S3_ATP2B2.pdf", "Melting_Curves/meltCurve_H0Y7S3_ATP2B2.pdf")</f>
        <v>Melting_Curves/meltCurve_H0Y7S3_ATP2B2.pdf</v>
      </c>
    </row>
    <row r="444" spans="1:28" x14ac:dyDescent="0.25">
      <c r="A444" t="s">
        <v>448</v>
      </c>
      <c r="B444">
        <v>1</v>
      </c>
      <c r="C444">
        <v>1.03876816808174</v>
      </c>
      <c r="D444">
        <v>1.0569002734206401</v>
      </c>
      <c r="E444">
        <v>1.1818678946611001</v>
      </c>
      <c r="F444">
        <v>1.3219743848035701</v>
      </c>
      <c r="G444">
        <v>0.87753633616347704</v>
      </c>
      <c r="H444">
        <v>0.48303353000431698</v>
      </c>
      <c r="I444">
        <v>0.73717081594473999</v>
      </c>
      <c r="J444">
        <v>0.73449417182328403</v>
      </c>
      <c r="K444">
        <v>0.74453878255864203</v>
      </c>
      <c r="L444">
        <v>14278.7305520113</v>
      </c>
      <c r="M444">
        <v>250</v>
      </c>
      <c r="O444">
        <v>57.111278825738403</v>
      </c>
      <c r="P444">
        <v>-0.35587403183678501</v>
      </c>
      <c r="Q444">
        <v>0.67480932924238701</v>
      </c>
      <c r="R444">
        <v>0.66012242666140397</v>
      </c>
      <c r="S444" t="s">
        <v>2318</v>
      </c>
      <c r="T444" t="s">
        <v>3746</v>
      </c>
      <c r="U444" t="s">
        <v>3746</v>
      </c>
      <c r="V444" t="s">
        <v>3746</v>
      </c>
      <c r="W444" t="s">
        <v>4185</v>
      </c>
      <c r="X444">
        <v>2</v>
      </c>
      <c r="Y444" t="s">
        <v>5856</v>
      </c>
      <c r="Z444" t="s">
        <v>7832</v>
      </c>
      <c r="AA444">
        <v>0.86036235941590289</v>
      </c>
      <c r="AB444" t="str">
        <f>HYPERLINK("Melting_Curves/meltCurve_H0Y8K1_CSN1S1.pdf", "Melting_Curves/meltCurve_H0Y8K1_CSN1S1.pdf")</f>
        <v>Melting_Curves/meltCurve_H0Y8K1_CSN1S1.pdf</v>
      </c>
    </row>
    <row r="445" spans="1:28" x14ac:dyDescent="0.25">
      <c r="A445" t="s">
        <v>449</v>
      </c>
      <c r="B445">
        <v>1</v>
      </c>
      <c r="C445">
        <v>1.1594595766828599</v>
      </c>
      <c r="D445">
        <v>1.6433900069396301</v>
      </c>
      <c r="E445">
        <v>2.0874175919500302</v>
      </c>
      <c r="F445">
        <v>1.6355829285218599</v>
      </c>
      <c r="G445">
        <v>2.0918632893823701</v>
      </c>
      <c r="H445">
        <v>1.3178782095766799</v>
      </c>
      <c r="I445">
        <v>2.0821044413601699</v>
      </c>
      <c r="J445">
        <v>1.8279406662040201</v>
      </c>
      <c r="K445">
        <v>1.6447996183206099</v>
      </c>
      <c r="L445">
        <v>10757.550067358399</v>
      </c>
      <c r="M445">
        <v>250</v>
      </c>
      <c r="O445">
        <v>43.027445447157199</v>
      </c>
      <c r="P445">
        <v>0.72628060667352001</v>
      </c>
      <c r="Q445">
        <v>1.5</v>
      </c>
      <c r="R445">
        <v>0.104324386588662</v>
      </c>
      <c r="S445" t="s">
        <v>2319</v>
      </c>
      <c r="T445" t="s">
        <v>3746</v>
      </c>
      <c r="U445" t="s">
        <v>3746</v>
      </c>
      <c r="V445" t="s">
        <v>3746</v>
      </c>
      <c r="W445" t="s">
        <v>4186</v>
      </c>
      <c r="X445">
        <v>2</v>
      </c>
      <c r="Y445" t="s">
        <v>6044</v>
      </c>
      <c r="Z445" t="s">
        <v>7833</v>
      </c>
      <c r="AA445">
        <v>1.4494589034955621</v>
      </c>
      <c r="AB445" t="str">
        <f>HYPERLINK("Melting_Curves/meltCurve_H0Y8X4_DNPH1.pdf", "Melting_Curves/meltCurve_H0Y8X4_DNPH1.pdf")</f>
        <v>Melting_Curves/meltCurve_H0Y8X4_DNPH1.pdf</v>
      </c>
    </row>
    <row r="446" spans="1:28" x14ac:dyDescent="0.25">
      <c r="A446" t="s">
        <v>450</v>
      </c>
      <c r="B446">
        <v>1</v>
      </c>
      <c r="C446">
        <v>1.1556498597425</v>
      </c>
      <c r="D446">
        <v>1.3003308638423401</v>
      </c>
      <c r="E446">
        <v>1.70819247644393</v>
      </c>
      <c r="F446">
        <v>1.0221175285909501</v>
      </c>
      <c r="G446">
        <v>1.2979932388693101</v>
      </c>
      <c r="H446">
        <v>0.80586923685535505</v>
      </c>
      <c r="I446">
        <v>1.1160181255844099</v>
      </c>
      <c r="J446">
        <v>1.01747824210602</v>
      </c>
      <c r="K446">
        <v>1.0051787384017801</v>
      </c>
      <c r="L446">
        <v>30.589464797676801</v>
      </c>
      <c r="M446">
        <v>18.247216377951901</v>
      </c>
      <c r="Q446">
        <v>1.1428827746500601</v>
      </c>
      <c r="R446">
        <v>-6.5689031991667E-10</v>
      </c>
      <c r="S446" t="s">
        <v>2320</v>
      </c>
      <c r="T446" t="s">
        <v>3746</v>
      </c>
      <c r="U446" t="s">
        <v>3746</v>
      </c>
      <c r="V446" t="s">
        <v>3746</v>
      </c>
      <c r="W446" t="s">
        <v>4187</v>
      </c>
      <c r="X446">
        <v>1</v>
      </c>
      <c r="Y446" t="s">
        <v>6045</v>
      </c>
      <c r="Z446" t="s">
        <v>7834</v>
      </c>
      <c r="AA446">
        <v>1.1428827716300141</v>
      </c>
      <c r="AB446" t="str">
        <f>HYPERLINK("Melting_Curves/meltCurve_H0YA52_PCBD2.pdf", "Melting_Curves/meltCurve_H0YA52_PCBD2.pdf")</f>
        <v>Melting_Curves/meltCurve_H0YA52_PCBD2.pdf</v>
      </c>
    </row>
    <row r="447" spans="1:28" x14ac:dyDescent="0.25">
      <c r="A447" t="s">
        <v>451</v>
      </c>
      <c r="B447">
        <v>1</v>
      </c>
      <c r="C447">
        <v>0.89321859609243903</v>
      </c>
      <c r="D447">
        <v>1.1326784651188</v>
      </c>
      <c r="E447">
        <v>1.22127509877145</v>
      </c>
      <c r="F447">
        <v>0.68433728419115702</v>
      </c>
      <c r="G447">
        <v>1.10680846457758</v>
      </c>
      <c r="H447">
        <v>0.66479948043513604</v>
      </c>
      <c r="I447">
        <v>0.99426313795529597</v>
      </c>
      <c r="J447">
        <v>1.0218650213779299</v>
      </c>
      <c r="K447">
        <v>0.92796449640093104</v>
      </c>
      <c r="S447" t="s">
        <v>2321</v>
      </c>
      <c r="T447" t="s">
        <v>3746</v>
      </c>
      <c r="U447" t="s">
        <v>3747</v>
      </c>
      <c r="V447" t="s">
        <v>3746</v>
      </c>
      <c r="W447" t="s">
        <v>4188</v>
      </c>
      <c r="X447">
        <v>13</v>
      </c>
      <c r="Y447" t="s">
        <v>6046</v>
      </c>
      <c r="Z447" t="s">
        <v>7835</v>
      </c>
      <c r="AB447" t="str">
        <f>HYPERLINK("Melting_Curves/meltCurve_H0YAC1_KLKB1.pdf", "Melting_Curves/meltCurve_H0YAC1_KLKB1.pdf")</f>
        <v>Melting_Curves/meltCurve_H0YAC1_KLKB1.pdf</v>
      </c>
    </row>
    <row r="448" spans="1:28" x14ac:dyDescent="0.25">
      <c r="A448" t="s">
        <v>452</v>
      </c>
      <c r="B448">
        <v>1</v>
      </c>
      <c r="C448">
        <v>1.05243606998654</v>
      </c>
      <c r="D448">
        <v>1.6290713324360699</v>
      </c>
      <c r="E448">
        <v>2.0977658142664901</v>
      </c>
      <c r="F448">
        <v>1.61152086137281</v>
      </c>
      <c r="G448">
        <v>1.99989232839838</v>
      </c>
      <c r="H448">
        <v>1.6861372812920601</v>
      </c>
      <c r="I448">
        <v>2.6788694481830402</v>
      </c>
      <c r="J448">
        <v>2.8607267833108998</v>
      </c>
      <c r="K448">
        <v>2.3903095558546399</v>
      </c>
      <c r="L448">
        <v>10816.9868257668</v>
      </c>
      <c r="M448">
        <v>250</v>
      </c>
      <c r="O448">
        <v>43.265177639306302</v>
      </c>
      <c r="P448">
        <v>0.72228986825427199</v>
      </c>
      <c r="Q448">
        <v>1.5</v>
      </c>
      <c r="R448">
        <v>-0.32538719864292898</v>
      </c>
      <c r="S448" t="s">
        <v>2322</v>
      </c>
      <c r="T448" t="s">
        <v>3746</v>
      </c>
      <c r="U448" t="s">
        <v>3746</v>
      </c>
      <c r="V448" t="s">
        <v>3746</v>
      </c>
      <c r="W448" t="s">
        <v>4189</v>
      </c>
      <c r="X448">
        <v>2</v>
      </c>
      <c r="Y448" t="s">
        <v>6047</v>
      </c>
      <c r="Z448" t="s">
        <v>7836</v>
      </c>
      <c r="AA448">
        <v>1.4454962443251891</v>
      </c>
      <c r="AB448" t="str">
        <f>HYPERLINK("Melting_Curves/meltCurve_H0YAK8_RBP1.pdf", "Melting_Curves/meltCurve_H0YAK8_RBP1.pdf")</f>
        <v>Melting_Curves/meltCurve_H0YAK8_RBP1.pdf</v>
      </c>
    </row>
    <row r="449" spans="1:28" x14ac:dyDescent="0.25">
      <c r="A449" t="s">
        <v>453</v>
      </c>
      <c r="B449">
        <v>1</v>
      </c>
      <c r="C449">
        <v>1.0094980230359301</v>
      </c>
      <c r="D449">
        <v>0.87600997077531395</v>
      </c>
      <c r="E449">
        <v>1.4408916394475999</v>
      </c>
      <c r="F449">
        <v>1.23391209672798</v>
      </c>
      <c r="G449">
        <v>0.68529024124691995</v>
      </c>
      <c r="H449">
        <v>0.51932554008366305</v>
      </c>
      <c r="I449">
        <v>0.95636353217580705</v>
      </c>
      <c r="J449">
        <v>1.23355395106298</v>
      </c>
      <c r="K449">
        <v>1.0148415563577999</v>
      </c>
      <c r="S449" t="s">
        <v>2323</v>
      </c>
      <c r="T449" t="s">
        <v>3746</v>
      </c>
      <c r="U449" t="s">
        <v>3747</v>
      </c>
      <c r="V449" t="s">
        <v>3746</v>
      </c>
      <c r="W449" t="s">
        <v>4190</v>
      </c>
      <c r="X449">
        <v>1</v>
      </c>
      <c r="Y449" t="s">
        <v>6048</v>
      </c>
      <c r="Z449" t="s">
        <v>7837</v>
      </c>
      <c r="AB449" t="str">
        <f>HYPERLINK("Melting_Curves/meltCurve_H0YAR1_LOXL2.pdf", "Melting_Curves/meltCurve_H0YAR1_LOXL2.pdf")</f>
        <v>Melting_Curves/meltCurve_H0YAR1_LOXL2.pdf</v>
      </c>
    </row>
    <row r="450" spans="1:28" x14ac:dyDescent="0.25">
      <c r="A450" t="s">
        <v>454</v>
      </c>
      <c r="B450">
        <v>1</v>
      </c>
      <c r="C450">
        <v>0.97655525466483695</v>
      </c>
      <c r="D450">
        <v>1.47575768817005</v>
      </c>
      <c r="E450">
        <v>1.9618280965982899</v>
      </c>
      <c r="F450">
        <v>2.0986014764254199</v>
      </c>
      <c r="G450">
        <v>3.3975219794487499</v>
      </c>
      <c r="H450">
        <v>0.58315094409615298</v>
      </c>
      <c r="I450">
        <v>1.3830173980784199</v>
      </c>
      <c r="J450">
        <v>1.4533516340839101</v>
      </c>
      <c r="K450">
        <v>1.3362391957562001</v>
      </c>
      <c r="L450">
        <v>11363.067154603999</v>
      </c>
      <c r="M450">
        <v>250</v>
      </c>
      <c r="O450">
        <v>45.449339453505701</v>
      </c>
      <c r="P450">
        <v>0.68757843794456397</v>
      </c>
      <c r="Q450">
        <v>1.5</v>
      </c>
      <c r="R450">
        <v>8.6650752905635495E-2</v>
      </c>
      <c r="S450" t="s">
        <v>2324</v>
      </c>
      <c r="T450" t="s">
        <v>3746</v>
      </c>
      <c r="U450" t="s">
        <v>3746</v>
      </c>
      <c r="V450" t="s">
        <v>3746</v>
      </c>
      <c r="W450" t="s">
        <v>4191</v>
      </c>
      <c r="X450">
        <v>1</v>
      </c>
      <c r="Y450" t="s">
        <v>6049</v>
      </c>
      <c r="Z450" t="s">
        <v>7838</v>
      </c>
      <c r="AA450">
        <v>1.409088972347718</v>
      </c>
      <c r="AB450" t="str">
        <f>HYPERLINK("Melting_Curves/meltCurve_H0YB13_STC2.pdf", "Melting_Curves/meltCurve_H0YB13_STC2.pdf")</f>
        <v>Melting_Curves/meltCurve_H0YB13_STC2.pdf</v>
      </c>
    </row>
    <row r="451" spans="1:28" x14ac:dyDescent="0.25">
      <c r="A451" t="s">
        <v>455</v>
      </c>
      <c r="B451">
        <v>1</v>
      </c>
      <c r="C451">
        <v>1.02506420840213</v>
      </c>
      <c r="D451">
        <v>1.2988442487617</v>
      </c>
      <c r="E451">
        <v>1.54994496422675</v>
      </c>
      <c r="F451">
        <v>0.98085213722252795</v>
      </c>
      <c r="G451">
        <v>0.85681526325444901</v>
      </c>
      <c r="H451">
        <v>0.66402953586497904</v>
      </c>
      <c r="I451">
        <v>0.95568473674555099</v>
      </c>
      <c r="J451">
        <v>0.91610484314804597</v>
      </c>
      <c r="K451">
        <v>0.91459135938359903</v>
      </c>
      <c r="L451">
        <v>13347.0090486468</v>
      </c>
      <c r="M451">
        <v>250</v>
      </c>
      <c r="O451">
        <v>53.384598718274297</v>
      </c>
      <c r="P451">
        <v>-0.16221298554039401</v>
      </c>
      <c r="Q451">
        <v>0.86144514309421005</v>
      </c>
      <c r="R451">
        <v>0.173643156210291</v>
      </c>
      <c r="S451" t="s">
        <v>2325</v>
      </c>
      <c r="T451" t="s">
        <v>3746</v>
      </c>
      <c r="U451" t="s">
        <v>3746</v>
      </c>
      <c r="V451" t="s">
        <v>3746</v>
      </c>
      <c r="W451" t="s">
        <v>4192</v>
      </c>
      <c r="X451">
        <v>4</v>
      </c>
      <c r="Y451" t="s">
        <v>6050</v>
      </c>
      <c r="Z451" t="s">
        <v>7839</v>
      </c>
      <c r="AA451">
        <v>0.92329070632179744</v>
      </c>
      <c r="AB451" t="str">
        <f>HYPERLINK("Melting_Curves/meltCurve_H0YBZ2_CD74.pdf", "Melting_Curves/meltCurve_H0YBZ2_CD74.pdf")</f>
        <v>Melting_Curves/meltCurve_H0YBZ2_CD74.pdf</v>
      </c>
    </row>
    <row r="452" spans="1:28" x14ac:dyDescent="0.25">
      <c r="A452" t="s">
        <v>456</v>
      </c>
      <c r="B452">
        <v>1</v>
      </c>
      <c r="C452">
        <v>1.1332503113325001</v>
      </c>
      <c r="D452">
        <v>1.1285595682856</v>
      </c>
      <c r="E452">
        <v>1.4792029887920299</v>
      </c>
      <c r="F452">
        <v>0.65056039850560399</v>
      </c>
      <c r="G452">
        <v>0.40622249896222501</v>
      </c>
      <c r="H452">
        <v>0.69057700290576995</v>
      </c>
      <c r="I452">
        <v>0.69356579493565795</v>
      </c>
      <c r="J452">
        <v>0.93831465338314701</v>
      </c>
      <c r="K452">
        <v>0.917102532171025</v>
      </c>
      <c r="L452">
        <v>12916.654144128401</v>
      </c>
      <c r="M452">
        <v>250</v>
      </c>
      <c r="O452">
        <v>51.663310487092602</v>
      </c>
      <c r="P452">
        <v>-0.343559767971992</v>
      </c>
      <c r="Q452">
        <v>0.71600904218670802</v>
      </c>
      <c r="R452">
        <v>0.461964585705815</v>
      </c>
      <c r="S452" t="s">
        <v>2326</v>
      </c>
      <c r="T452" t="s">
        <v>3746</v>
      </c>
      <c r="U452" t="s">
        <v>3746</v>
      </c>
      <c r="V452" t="s">
        <v>3746</v>
      </c>
      <c r="W452" t="s">
        <v>4193</v>
      </c>
      <c r="X452">
        <v>1</v>
      </c>
      <c r="Y452" t="s">
        <v>6051</v>
      </c>
      <c r="Z452" t="s">
        <v>7840</v>
      </c>
      <c r="AA452">
        <v>0.82647524668029393</v>
      </c>
      <c r="AB452" t="str">
        <f>HYPERLINK("Melting_Curves/meltCurve_H0YCX6_LTBP3.pdf", "Melting_Curves/meltCurve_H0YCX6_LTBP3.pdf")</f>
        <v>Melting_Curves/meltCurve_H0YCX6_LTBP3.pdf</v>
      </c>
    </row>
    <row r="453" spans="1:28" x14ac:dyDescent="0.25">
      <c r="A453" t="s">
        <v>457</v>
      </c>
      <c r="B453">
        <v>1</v>
      </c>
      <c r="C453">
        <v>1.06921670030272</v>
      </c>
      <c r="D453">
        <v>1.4110746720484399</v>
      </c>
      <c r="E453">
        <v>1.75299571140262</v>
      </c>
      <c r="F453">
        <v>1.1241170534813301</v>
      </c>
      <c r="G453">
        <v>1.2723259334006101</v>
      </c>
      <c r="H453">
        <v>0.85374621594349098</v>
      </c>
      <c r="I453">
        <v>1.13900100908174</v>
      </c>
      <c r="J453">
        <v>1.0882946518668</v>
      </c>
      <c r="K453">
        <v>0.94566725529767903</v>
      </c>
      <c r="L453">
        <v>10751.770038803301</v>
      </c>
      <c r="M453">
        <v>250</v>
      </c>
      <c r="O453">
        <v>43.0043393400301</v>
      </c>
      <c r="P453">
        <v>0.28834715401324001</v>
      </c>
      <c r="Q453">
        <v>1.1984028093496399</v>
      </c>
      <c r="R453">
        <v>7.4612408250560397E-2</v>
      </c>
      <c r="S453" t="s">
        <v>2327</v>
      </c>
      <c r="T453" t="s">
        <v>3746</v>
      </c>
      <c r="U453" t="s">
        <v>3746</v>
      </c>
      <c r="V453" t="s">
        <v>3746</v>
      </c>
      <c r="W453" t="s">
        <v>4194</v>
      </c>
      <c r="X453">
        <v>3</v>
      </c>
      <c r="Y453" t="s">
        <v>6052</v>
      </c>
      <c r="Z453" t="s">
        <v>7841</v>
      </c>
      <c r="AA453">
        <v>1.178500729517957</v>
      </c>
      <c r="AB453" t="str">
        <f>HYPERLINK("Melting_Curves/meltCurve_H0YD13_CD44.pdf", "Melting_Curves/meltCurve_H0YD13_CD44.pdf")</f>
        <v>Melting_Curves/meltCurve_H0YD13_CD44.pdf</v>
      </c>
    </row>
    <row r="454" spans="1:28" x14ac:dyDescent="0.25">
      <c r="A454" t="s">
        <v>458</v>
      </c>
      <c r="B454">
        <v>1</v>
      </c>
      <c r="C454">
        <v>0.89171990417249003</v>
      </c>
      <c r="D454">
        <v>1.26492313835097</v>
      </c>
      <c r="E454">
        <v>1.59335695747654</v>
      </c>
      <c r="F454">
        <v>1.1255739668596501</v>
      </c>
      <c r="G454">
        <v>1.6779546815731701</v>
      </c>
      <c r="H454">
        <v>0.98949391096027195</v>
      </c>
      <c r="I454">
        <v>1.9629666600119799</v>
      </c>
      <c r="J454">
        <v>1.7674436015172701</v>
      </c>
      <c r="K454">
        <v>1.3403124376122999</v>
      </c>
      <c r="L454">
        <v>11493.286662180701</v>
      </c>
      <c r="M454">
        <v>250</v>
      </c>
      <c r="O454">
        <v>45.970204706895402</v>
      </c>
      <c r="P454">
        <v>0.67145631288344898</v>
      </c>
      <c r="Q454">
        <v>1.4938717455289601</v>
      </c>
      <c r="R454">
        <v>0.38168747476183501</v>
      </c>
      <c r="S454" t="s">
        <v>2328</v>
      </c>
      <c r="T454" t="s">
        <v>3746</v>
      </c>
      <c r="U454" t="s">
        <v>3746</v>
      </c>
      <c r="V454" t="s">
        <v>3746</v>
      </c>
      <c r="W454" t="s">
        <v>4195</v>
      </c>
      <c r="X454">
        <v>1</v>
      </c>
      <c r="Y454" t="s">
        <v>6053</v>
      </c>
      <c r="Z454" t="s">
        <v>7842</v>
      </c>
      <c r="AA454">
        <v>1.395499620167808</v>
      </c>
      <c r="AB454" t="str">
        <f>HYPERLINK("Melting_Curves/meltCurve_H0YDT6_EIF3F.pdf", "Melting_Curves/meltCurve_H0YDT6_EIF3F.pdf")</f>
        <v>Melting_Curves/meltCurve_H0YDT6_EIF3F.pdf</v>
      </c>
    </row>
    <row r="455" spans="1:28" x14ac:dyDescent="0.25">
      <c r="A455" t="s">
        <v>459</v>
      </c>
      <c r="B455">
        <v>1</v>
      </c>
      <c r="C455">
        <v>0.98916299079671099</v>
      </c>
      <c r="D455">
        <v>1.20067527092523</v>
      </c>
      <c r="E455">
        <v>1.5627620759135199</v>
      </c>
      <c r="F455">
        <v>1.03953602352557</v>
      </c>
      <c r="G455">
        <v>1.5458803027827701</v>
      </c>
      <c r="H455">
        <v>1.0618090725916201</v>
      </c>
      <c r="I455">
        <v>1.5093394325545899</v>
      </c>
      <c r="J455">
        <v>1.36382943963405</v>
      </c>
      <c r="K455">
        <v>1.1492130915427801</v>
      </c>
      <c r="L455">
        <v>11231.219718357999</v>
      </c>
      <c r="M455">
        <v>244.68596562003799</v>
      </c>
      <c r="O455">
        <v>45.897481128954901</v>
      </c>
      <c r="P455">
        <v>0.42503847655997901</v>
      </c>
      <c r="Q455">
        <v>1.31890991865242</v>
      </c>
      <c r="R455">
        <v>0.33924199679901701</v>
      </c>
      <c r="S455" t="s">
        <v>2329</v>
      </c>
      <c r="T455" t="s">
        <v>3746</v>
      </c>
      <c r="U455" t="s">
        <v>3746</v>
      </c>
      <c r="V455" t="s">
        <v>3746</v>
      </c>
      <c r="W455" t="s">
        <v>4196</v>
      </c>
      <c r="X455">
        <v>3</v>
      </c>
      <c r="Y455" t="s">
        <v>6054</v>
      </c>
      <c r="Z455" t="s">
        <v>7843</v>
      </c>
      <c r="AA455">
        <v>1.256158332951717</v>
      </c>
      <c r="AB455" t="str">
        <f>HYPERLINK("Melting_Curves/meltCurve_H0YEN5_RPS2.pdf", "Melting_Curves/meltCurve_H0YEN5_RPS2.pdf")</f>
        <v>Melting_Curves/meltCurve_H0YEN5_RPS2.pdf</v>
      </c>
    </row>
    <row r="456" spans="1:28" x14ac:dyDescent="0.25">
      <c r="A456" t="s">
        <v>460</v>
      </c>
      <c r="B456">
        <v>1</v>
      </c>
      <c r="C456">
        <v>0.81091473068596698</v>
      </c>
      <c r="D456">
        <v>1.11076286794404</v>
      </c>
      <c r="E456">
        <v>1.3320301140586099</v>
      </c>
      <c r="F456">
        <v>1.0137322692171</v>
      </c>
      <c r="G456">
        <v>1.23189763804969</v>
      </c>
      <c r="H456">
        <v>0.79039710491453696</v>
      </c>
      <c r="I456">
        <v>1.1913793660538301</v>
      </c>
      <c r="J456">
        <v>1.01767423826295</v>
      </c>
      <c r="K456">
        <v>0.94574945878703698</v>
      </c>
      <c r="L456">
        <v>15000</v>
      </c>
      <c r="M456">
        <v>211.427323328624</v>
      </c>
      <c r="Q456">
        <v>0</v>
      </c>
      <c r="R456">
        <v>-6.08735350540002E-2</v>
      </c>
      <c r="S456" t="s">
        <v>2330</v>
      </c>
      <c r="T456" t="s">
        <v>3746</v>
      </c>
      <c r="U456" t="s">
        <v>3746</v>
      </c>
      <c r="V456" t="s">
        <v>3746</v>
      </c>
      <c r="W456" t="s">
        <v>4197</v>
      </c>
      <c r="X456">
        <v>3</v>
      </c>
      <c r="Y456" t="s">
        <v>6055</v>
      </c>
      <c r="Z456" t="s">
        <v>7844</v>
      </c>
      <c r="AA456">
        <v>0.99939832802968509</v>
      </c>
      <c r="AB456" t="str">
        <f>HYPERLINK("Melting_Curves/meltCurve_H0YEP5_SMPD1.pdf", "Melting_Curves/meltCurve_H0YEP5_SMPD1.pdf")</f>
        <v>Melting_Curves/meltCurve_H0YEP5_SMPD1.pdf</v>
      </c>
    </row>
    <row r="457" spans="1:28" x14ac:dyDescent="0.25">
      <c r="A457" t="s">
        <v>461</v>
      </c>
      <c r="B457">
        <v>1</v>
      </c>
      <c r="C457">
        <v>0.886445270653475</v>
      </c>
      <c r="D457">
        <v>1.4064528325666401</v>
      </c>
      <c r="E457">
        <v>1.2899363538975399</v>
      </c>
      <c r="F457">
        <v>1.51654168504632</v>
      </c>
      <c r="G457">
        <v>1.18413258554414</v>
      </c>
      <c r="H457">
        <v>0.59539353456424504</v>
      </c>
      <c r="I457">
        <v>1.19396307265738</v>
      </c>
      <c r="J457">
        <v>1.22988216018653</v>
      </c>
      <c r="K457">
        <v>1.11254647425799</v>
      </c>
      <c r="L457">
        <v>11086.301794896601</v>
      </c>
      <c r="M457">
        <v>250</v>
      </c>
      <c r="O457">
        <v>44.3423694789847</v>
      </c>
      <c r="P457">
        <v>0.26935664209786703</v>
      </c>
      <c r="Q457">
        <v>1.19110258727977</v>
      </c>
      <c r="R457">
        <v>0.14592371617790401</v>
      </c>
      <c r="S457" t="s">
        <v>2331</v>
      </c>
      <c r="T457" t="s">
        <v>3746</v>
      </c>
      <c r="U457" t="s">
        <v>3746</v>
      </c>
      <c r="V457" t="s">
        <v>3746</v>
      </c>
      <c r="W457" t="s">
        <v>4198</v>
      </c>
      <c r="X457">
        <v>2</v>
      </c>
      <c r="Y457" t="s">
        <v>6056</v>
      </c>
      <c r="Z457" t="s">
        <v>7845</v>
      </c>
      <c r="AA457">
        <v>1.16340837021636</v>
      </c>
      <c r="AB457" t="str">
        <f>HYPERLINK("Melting_Curves/meltCurve_H0YFA4_CRIP2.pdf", "Melting_Curves/meltCurve_H0YFA4_CRIP2.pdf")</f>
        <v>Melting_Curves/meltCurve_H0YFA4_CRIP2.pdf</v>
      </c>
    </row>
    <row r="458" spans="1:28" x14ac:dyDescent="0.25">
      <c r="A458" t="s">
        <v>462</v>
      </c>
      <c r="B458">
        <v>1</v>
      </c>
      <c r="C458">
        <v>1.05377295861916</v>
      </c>
      <c r="D458">
        <v>1.76366452755034</v>
      </c>
      <c r="E458">
        <v>3.4366010179243198</v>
      </c>
      <c r="F458">
        <v>2.9247751324473099</v>
      </c>
      <c r="G458">
        <v>3.89583848587012</v>
      </c>
      <c r="H458">
        <v>2.97632219517592</v>
      </c>
      <c r="I458">
        <v>4.1544849849654399</v>
      </c>
      <c r="J458">
        <v>4.4839436106374402</v>
      </c>
      <c r="K458">
        <v>4.0457935774442504</v>
      </c>
      <c r="L458">
        <v>10815.7780703629</v>
      </c>
      <c r="M458">
        <v>250</v>
      </c>
      <c r="O458">
        <v>43.260342264968401</v>
      </c>
      <c r="P458">
        <v>0.72237059029545203</v>
      </c>
      <c r="Q458">
        <v>1.5</v>
      </c>
      <c r="R458">
        <v>-1.42351698854258</v>
      </c>
      <c r="S458" t="s">
        <v>2332</v>
      </c>
      <c r="T458" t="s">
        <v>3746</v>
      </c>
      <c r="U458" t="s">
        <v>3746</v>
      </c>
      <c r="V458" t="s">
        <v>3746</v>
      </c>
      <c r="W458" t="s">
        <v>4199</v>
      </c>
      <c r="X458">
        <v>2</v>
      </c>
      <c r="Y458" t="s">
        <v>6057</v>
      </c>
      <c r="Z458" t="s">
        <v>7846</v>
      </c>
      <c r="AA458">
        <v>1.4455768322613749</v>
      </c>
      <c r="AB458" t="str">
        <f>HYPERLINK("Melting_Curves/meltCurve_H0YFC6_RAN.pdf", "Melting_Curves/meltCurve_H0YFC6_RAN.pdf")</f>
        <v>Melting_Curves/meltCurve_H0YFC6_RAN.pdf</v>
      </c>
    </row>
    <row r="459" spans="1:28" x14ac:dyDescent="0.25">
      <c r="A459" t="s">
        <v>463</v>
      </c>
      <c r="B459">
        <v>1</v>
      </c>
      <c r="C459">
        <v>1.0689830078620299</v>
      </c>
      <c r="D459">
        <v>1.2673091554653799</v>
      </c>
      <c r="E459">
        <v>1.9804083185391801</v>
      </c>
      <c r="F459">
        <v>1.17664215064672</v>
      </c>
      <c r="G459">
        <v>1.36774029926452</v>
      </c>
      <c r="H459">
        <v>3.4116789246766399</v>
      </c>
      <c r="I459">
        <v>1.57963479584073</v>
      </c>
      <c r="J459">
        <v>1.6281384732437201</v>
      </c>
      <c r="K459">
        <v>1.4619579000760801</v>
      </c>
      <c r="S459" t="s">
        <v>2333</v>
      </c>
      <c r="T459" t="s">
        <v>3746</v>
      </c>
      <c r="U459" t="s">
        <v>3747</v>
      </c>
      <c r="V459" t="s">
        <v>3746</v>
      </c>
      <c r="W459" t="s">
        <v>4200</v>
      </c>
      <c r="X459">
        <v>1</v>
      </c>
      <c r="Y459" t="s">
        <v>6058</v>
      </c>
      <c r="Z459" t="s">
        <v>7847</v>
      </c>
      <c r="AB459" t="str">
        <f>HYPERLINK("Melting_Curves/meltCurve_H0YFS9_GLTP.pdf", "Melting_Curves/meltCurve_H0YFS9_GLTP.pdf")</f>
        <v>Melting_Curves/meltCurve_H0YFS9_GLTP.pdf</v>
      </c>
    </row>
    <row r="460" spans="1:28" x14ac:dyDescent="0.25">
      <c r="A460" t="s">
        <v>464</v>
      </c>
      <c r="B460">
        <v>1</v>
      </c>
      <c r="C460">
        <v>1.1024782317481601</v>
      </c>
      <c r="D460">
        <v>1.7012726054923</v>
      </c>
      <c r="E460">
        <v>2.3249280958197098</v>
      </c>
      <c r="F460">
        <v>1.83464008510303</v>
      </c>
      <c r="G460">
        <v>1.8119853433670901</v>
      </c>
      <c r="H460">
        <v>1.2857255427288099</v>
      </c>
      <c r="I460">
        <v>1.87959497261731</v>
      </c>
      <c r="J460">
        <v>2.0534257909459801</v>
      </c>
      <c r="K460">
        <v>1.85863441156771</v>
      </c>
      <c r="L460">
        <v>10783.155124860499</v>
      </c>
      <c r="M460">
        <v>250</v>
      </c>
      <c r="O460">
        <v>43.129860289137703</v>
      </c>
      <c r="P460">
        <v>0.72455602269147401</v>
      </c>
      <c r="Q460">
        <v>1.5</v>
      </c>
      <c r="R460">
        <v>3.9986745426281702E-2</v>
      </c>
      <c r="S460" t="s">
        <v>2334</v>
      </c>
      <c r="T460" t="s">
        <v>3746</v>
      </c>
      <c r="U460" t="s">
        <v>3746</v>
      </c>
      <c r="V460" t="s">
        <v>3746</v>
      </c>
      <c r="W460" t="s">
        <v>4201</v>
      </c>
      <c r="X460">
        <v>4</v>
      </c>
      <c r="Y460" t="s">
        <v>6059</v>
      </c>
      <c r="Z460" t="s">
        <v>7848</v>
      </c>
      <c r="AA460">
        <v>1.447751809796082</v>
      </c>
      <c r="AB460" t="str">
        <f>HYPERLINK("Melting_Curves/meltCurve_H0YGL6_RAB6A.pdf", "Melting_Curves/meltCurve_H0YGL6_RAB6A.pdf")</f>
        <v>Melting_Curves/meltCurve_H0YGL6_RAB6A.pdf</v>
      </c>
    </row>
    <row r="461" spans="1:28" x14ac:dyDescent="0.25">
      <c r="A461" t="s">
        <v>465</v>
      </c>
      <c r="B461">
        <v>1</v>
      </c>
      <c r="C461">
        <v>1.3507169033827</v>
      </c>
      <c r="D461">
        <v>1.48391400537044</v>
      </c>
      <c r="E461">
        <v>2.0069917079019799</v>
      </c>
      <c r="F461">
        <v>1.6347085943965001</v>
      </c>
      <c r="G461">
        <v>2.1432793474406</v>
      </c>
      <c r="H461">
        <v>1.5518889433063701</v>
      </c>
      <c r="I461">
        <v>2.6695151402563599</v>
      </c>
      <c r="J461">
        <v>2.21218313546012</v>
      </c>
      <c r="K461">
        <v>2.09312144292638</v>
      </c>
      <c r="L461">
        <v>3478.0119232911902</v>
      </c>
      <c r="M461">
        <v>81.924562179563395</v>
      </c>
      <c r="O461">
        <v>42.428559481677901</v>
      </c>
      <c r="P461">
        <v>0.24136033897944301</v>
      </c>
      <c r="Q461">
        <v>1.5</v>
      </c>
      <c r="R461">
        <v>-0.326038671493659</v>
      </c>
      <c r="S461" t="s">
        <v>2335</v>
      </c>
      <c r="T461" t="s">
        <v>3746</v>
      </c>
      <c r="U461" t="s">
        <v>3746</v>
      </c>
      <c r="V461" t="s">
        <v>3746</v>
      </c>
      <c r="W461" t="s">
        <v>4202</v>
      </c>
      <c r="X461">
        <v>4</v>
      </c>
      <c r="Y461" t="s">
        <v>6060</v>
      </c>
      <c r="Z461" t="s">
        <v>7849</v>
      </c>
      <c r="AA461">
        <v>1.458706121237703</v>
      </c>
      <c r="AB461" t="str">
        <f>HYPERLINK("Melting_Curves/meltCurve_H0YGV7_MAN1B1.pdf", "Melting_Curves/meltCurve_H0YGV7_MAN1B1.pdf")</f>
        <v>Melting_Curves/meltCurve_H0YGV7_MAN1B1.pdf</v>
      </c>
    </row>
    <row r="462" spans="1:28" x14ac:dyDescent="0.25">
      <c r="A462" t="s">
        <v>466</v>
      </c>
      <c r="B462">
        <v>1</v>
      </c>
      <c r="C462">
        <v>1.2299503618204699</v>
      </c>
      <c r="D462">
        <v>1.56019376831529</v>
      </c>
      <c r="E462">
        <v>2.1085461395849499</v>
      </c>
      <c r="F462">
        <v>1.68129896537288</v>
      </c>
      <c r="G462">
        <v>1.80168650200347</v>
      </c>
      <c r="H462">
        <v>1.1190718258477399</v>
      </c>
      <c r="I462">
        <v>1.92847317744154</v>
      </c>
      <c r="J462">
        <v>1.58895999043119</v>
      </c>
      <c r="K462">
        <v>1.4907003169666899</v>
      </c>
      <c r="L462">
        <v>10731.8958411495</v>
      </c>
      <c r="M462">
        <v>250</v>
      </c>
      <c r="O462">
        <v>42.924836301843797</v>
      </c>
      <c r="P462">
        <v>0.72801675537854704</v>
      </c>
      <c r="Q462">
        <v>1.5</v>
      </c>
      <c r="R462">
        <v>0.26249616730137099</v>
      </c>
      <c r="S462" t="s">
        <v>2336</v>
      </c>
      <c r="T462" t="s">
        <v>3746</v>
      </c>
      <c r="U462" t="s">
        <v>3746</v>
      </c>
      <c r="V462" t="s">
        <v>3746</v>
      </c>
      <c r="W462" t="s">
        <v>4203</v>
      </c>
      <c r="X462">
        <v>1</v>
      </c>
      <c r="Y462" t="s">
        <v>6061</v>
      </c>
      <c r="Z462" t="s">
        <v>7850</v>
      </c>
      <c r="AA462">
        <v>1.451169275275114</v>
      </c>
      <c r="AB462" t="str">
        <f>HYPERLINK("Melting_Curves/meltCurve_H0YII4_DDI2.pdf", "Melting_Curves/meltCurve_H0YII4_DDI2.pdf")</f>
        <v>Melting_Curves/meltCurve_H0YII4_DDI2.pdf</v>
      </c>
    </row>
    <row r="463" spans="1:28" x14ac:dyDescent="0.25">
      <c r="A463" t="s">
        <v>467</v>
      </c>
      <c r="B463">
        <v>1</v>
      </c>
      <c r="C463">
        <v>1.0904634581105199</v>
      </c>
      <c r="D463">
        <v>1.46934046345811</v>
      </c>
      <c r="E463">
        <v>1.9002673796791401</v>
      </c>
      <c r="F463">
        <v>1.3705882352941201</v>
      </c>
      <c r="G463">
        <v>1.9272727272727299</v>
      </c>
      <c r="H463">
        <v>1.5082887700534799</v>
      </c>
      <c r="I463">
        <v>2.8428698752228199</v>
      </c>
      <c r="J463">
        <v>2.94135472370766</v>
      </c>
      <c r="K463">
        <v>2.7733511586452799</v>
      </c>
      <c r="L463">
        <v>2863.1985831703901</v>
      </c>
      <c r="M463">
        <v>65.216769486483997</v>
      </c>
      <c r="O463">
        <v>43.861572819242198</v>
      </c>
      <c r="P463">
        <v>0.18585969703340999</v>
      </c>
      <c r="Q463">
        <v>1.5</v>
      </c>
      <c r="R463">
        <v>-0.216602388111482</v>
      </c>
      <c r="S463" t="s">
        <v>2337</v>
      </c>
      <c r="T463" t="s">
        <v>3746</v>
      </c>
      <c r="U463" t="s">
        <v>3746</v>
      </c>
      <c r="V463" t="s">
        <v>3746</v>
      </c>
      <c r="W463" t="s">
        <v>4204</v>
      </c>
      <c r="X463">
        <v>4</v>
      </c>
      <c r="Y463" t="s">
        <v>6062</v>
      </c>
      <c r="Z463" t="s">
        <v>7851</v>
      </c>
      <c r="AA463">
        <v>1.434369942613219</v>
      </c>
      <c r="AB463" t="str">
        <f>HYPERLINK("Melting_Curves/meltCurve_H0YJ34_FERMT2.pdf", "Melting_Curves/meltCurve_H0YJ34_FERMT2.pdf")</f>
        <v>Melting_Curves/meltCurve_H0YJ34_FERMT2.pdf</v>
      </c>
    </row>
    <row r="464" spans="1:28" x14ac:dyDescent="0.25">
      <c r="A464" t="s">
        <v>468</v>
      </c>
      <c r="B464">
        <v>1</v>
      </c>
      <c r="C464">
        <v>1.12723296406818</v>
      </c>
      <c r="D464">
        <v>1.78187466786576</v>
      </c>
      <c r="E464">
        <v>2.7658095899930499</v>
      </c>
      <c r="F464">
        <v>1.94456934963005</v>
      </c>
      <c r="G464">
        <v>2.0594367003229399</v>
      </c>
      <c r="H464">
        <v>1.6364918448268799</v>
      </c>
      <c r="I464">
        <v>2.1790050280014701</v>
      </c>
      <c r="J464">
        <v>2.5779749008707</v>
      </c>
      <c r="K464">
        <v>2.3968850917712499</v>
      </c>
      <c r="L464">
        <v>10771.114601176199</v>
      </c>
      <c r="M464">
        <v>250</v>
      </c>
      <c r="O464">
        <v>43.081701420997597</v>
      </c>
      <c r="P464">
        <v>0.72536596987650104</v>
      </c>
      <c r="Q464">
        <v>1.5</v>
      </c>
      <c r="R464">
        <v>-0.53086257143661697</v>
      </c>
      <c r="S464" t="s">
        <v>2338</v>
      </c>
      <c r="T464" t="s">
        <v>3746</v>
      </c>
      <c r="U464" t="s">
        <v>3746</v>
      </c>
      <c r="V464" t="s">
        <v>3746</v>
      </c>
      <c r="W464" t="s">
        <v>4205</v>
      </c>
      <c r="X464">
        <v>2</v>
      </c>
      <c r="Y464" t="s">
        <v>6063</v>
      </c>
      <c r="Z464" t="s">
        <v>7852</v>
      </c>
      <c r="AA464">
        <v>1.4485545536341791</v>
      </c>
      <c r="AB464" t="str">
        <f>HYPERLINK("Melting_Curves/meltCurve_H0YJG7_AHSA1.pdf", "Melting_Curves/meltCurve_H0YJG7_AHSA1.pdf")</f>
        <v>Melting_Curves/meltCurve_H0YJG7_AHSA1.pdf</v>
      </c>
    </row>
    <row r="465" spans="1:28" x14ac:dyDescent="0.25">
      <c r="A465" t="s">
        <v>469</v>
      </c>
      <c r="B465">
        <v>1</v>
      </c>
      <c r="C465">
        <v>0.97706209453197401</v>
      </c>
      <c r="D465">
        <v>1.6024868705591599</v>
      </c>
      <c r="E465">
        <v>2.7250540624034598</v>
      </c>
      <c r="F465">
        <v>2.6621099783750402</v>
      </c>
      <c r="G465">
        <v>3.0661105962310802</v>
      </c>
      <c r="H465">
        <v>2.34182885387705</v>
      </c>
      <c r="I465">
        <v>3.1984862527031201</v>
      </c>
      <c r="J465">
        <v>3.3075378436824199</v>
      </c>
      <c r="K465">
        <v>2.97435897435897</v>
      </c>
      <c r="L465">
        <v>11067.406969727501</v>
      </c>
      <c r="M465">
        <v>250</v>
      </c>
      <c r="O465">
        <v>44.266794959654</v>
      </c>
      <c r="P465">
        <v>0.70594675073437196</v>
      </c>
      <c r="Q465">
        <v>1.5</v>
      </c>
      <c r="R465">
        <v>-1.0408212713742699</v>
      </c>
      <c r="S465" t="s">
        <v>2339</v>
      </c>
      <c r="T465" t="s">
        <v>3746</v>
      </c>
      <c r="U465" t="s">
        <v>3746</v>
      </c>
      <c r="V465" t="s">
        <v>3746</v>
      </c>
      <c r="W465" t="s">
        <v>4206</v>
      </c>
      <c r="X465">
        <v>6</v>
      </c>
      <c r="Y465" t="s">
        <v>6064</v>
      </c>
      <c r="Z465" t="s">
        <v>7853</v>
      </c>
      <c r="AA465">
        <v>1.4288006890975229</v>
      </c>
      <c r="AB465" t="str">
        <f>HYPERLINK("Melting_Curves/meltCurve_H0YJS4_EIF2S1.pdf", "Melting_Curves/meltCurve_H0YJS4_EIF2S1.pdf")</f>
        <v>Melting_Curves/meltCurve_H0YJS4_EIF2S1.pdf</v>
      </c>
    </row>
    <row r="466" spans="1:28" x14ac:dyDescent="0.25">
      <c r="A466" t="s">
        <v>470</v>
      </c>
      <c r="B466">
        <v>1</v>
      </c>
      <c r="C466">
        <v>1.07776201454159</v>
      </c>
      <c r="D466">
        <v>1.9680794467104099</v>
      </c>
      <c r="E466">
        <v>2.1018797659159398</v>
      </c>
      <c r="F466">
        <v>1.54194006029438</v>
      </c>
      <c r="G466">
        <v>1.55346692676006</v>
      </c>
      <c r="H466">
        <v>2.7524383755985098</v>
      </c>
      <c r="I466">
        <v>3.3136194360702298</v>
      </c>
      <c r="J466">
        <v>3.5374179819116902</v>
      </c>
      <c r="K466">
        <v>2.8009398829579699</v>
      </c>
      <c r="L466">
        <v>10797.5826908978</v>
      </c>
      <c r="M466">
        <v>250</v>
      </c>
      <c r="O466">
        <v>43.187566911206197</v>
      </c>
      <c r="P466">
        <v>0.72358788193585999</v>
      </c>
      <c r="Q466">
        <v>1.5</v>
      </c>
      <c r="R466">
        <v>-0.54692508763632997</v>
      </c>
      <c r="S466" t="s">
        <v>2340</v>
      </c>
      <c r="T466" t="s">
        <v>3746</v>
      </c>
      <c r="U466" t="s">
        <v>3746</v>
      </c>
      <c r="V466" t="s">
        <v>3746</v>
      </c>
      <c r="W466" t="s">
        <v>4207</v>
      </c>
      <c r="X466">
        <v>1</v>
      </c>
      <c r="Y466" t="s">
        <v>6065</v>
      </c>
      <c r="Z466" t="s">
        <v>7854</v>
      </c>
      <c r="AA466">
        <v>1.446789921422295</v>
      </c>
      <c r="AB466" t="str">
        <f>HYPERLINK("Melting_Curves/meltCurve_H0YJV2_SPTLC2.pdf", "Melting_Curves/meltCurve_H0YJV2_SPTLC2.pdf")</f>
        <v>Melting_Curves/meltCurve_H0YJV2_SPTLC2.pdf</v>
      </c>
    </row>
    <row r="467" spans="1:28" x14ac:dyDescent="0.25">
      <c r="A467" t="s">
        <v>471</v>
      </c>
      <c r="B467">
        <v>1</v>
      </c>
      <c r="C467">
        <v>3.0028671014166899</v>
      </c>
      <c r="D467">
        <v>3.8108275241735998</v>
      </c>
      <c r="E467">
        <v>5.0273780076456003</v>
      </c>
      <c r="F467">
        <v>4.8890263098718201</v>
      </c>
      <c r="G467">
        <v>6.2120530694850498</v>
      </c>
      <c r="H467">
        <v>2.5359793118956602</v>
      </c>
      <c r="I467">
        <v>4.6182819878569799</v>
      </c>
      <c r="J467">
        <v>4.6532493816055798</v>
      </c>
      <c r="K467">
        <v>3.4691364965145</v>
      </c>
      <c r="L467">
        <v>10216.2412700271</v>
      </c>
      <c r="M467">
        <v>250</v>
      </c>
      <c r="O467">
        <v>40.8623500107065</v>
      </c>
      <c r="P467">
        <v>0.76476267374932505</v>
      </c>
      <c r="Q467">
        <v>1.5</v>
      </c>
      <c r="R467">
        <v>-2.9287064086533299</v>
      </c>
      <c r="S467" t="s">
        <v>2341</v>
      </c>
      <c r="T467" t="s">
        <v>3746</v>
      </c>
      <c r="U467" t="s">
        <v>3746</v>
      </c>
      <c r="V467" t="s">
        <v>3746</v>
      </c>
      <c r="W467" t="s">
        <v>4208</v>
      </c>
      <c r="X467">
        <v>1</v>
      </c>
      <c r="Y467" t="s">
        <v>6066</v>
      </c>
      <c r="Z467" t="s">
        <v>7855</v>
      </c>
      <c r="AA467">
        <v>1.485536455081006</v>
      </c>
      <c r="AB467" t="str">
        <f>HYPERLINK("Melting_Curves/meltCurve_H0YJV3_NID2.pdf", "Melting_Curves/meltCurve_H0YJV3_NID2.pdf")</f>
        <v>Melting_Curves/meltCurve_H0YJV3_NID2.pdf</v>
      </c>
    </row>
    <row r="468" spans="1:28" x14ac:dyDescent="0.25">
      <c r="A468" t="s">
        <v>472</v>
      </c>
      <c r="B468">
        <v>1</v>
      </c>
      <c r="C468">
        <v>0.89907133380957205</v>
      </c>
      <c r="D468">
        <v>1.3893254413715701</v>
      </c>
      <c r="E468">
        <v>1.79156036330238</v>
      </c>
      <c r="F468">
        <v>1.4637973262577799</v>
      </c>
      <c r="G468">
        <v>1.74867333401368</v>
      </c>
      <c r="H468">
        <v>1.2491835901622601</v>
      </c>
      <c r="I468">
        <v>2.4021583835085201</v>
      </c>
      <c r="J468">
        <v>1.9034850494948501</v>
      </c>
      <c r="K468">
        <v>2.0564853556485398</v>
      </c>
      <c r="L468">
        <v>11442.140223632299</v>
      </c>
      <c r="M468">
        <v>250</v>
      </c>
      <c r="O468">
        <v>45.765631987470499</v>
      </c>
      <c r="P468">
        <v>0.68282679958748704</v>
      </c>
      <c r="Q468">
        <v>1.5</v>
      </c>
      <c r="R468">
        <v>0.26065297364495499</v>
      </c>
      <c r="S468" t="s">
        <v>2342</v>
      </c>
      <c r="T468" t="s">
        <v>3746</v>
      </c>
      <c r="U468" t="s">
        <v>3746</v>
      </c>
      <c r="V468" t="s">
        <v>3746</v>
      </c>
      <c r="W468" t="s">
        <v>4209</v>
      </c>
      <c r="X468">
        <v>2</v>
      </c>
      <c r="Y468" t="s">
        <v>6067</v>
      </c>
      <c r="Z468" t="s">
        <v>7856</v>
      </c>
      <c r="AA468">
        <v>1.4038171568684821</v>
      </c>
      <c r="AB468" t="str">
        <f>HYPERLINK("Melting_Curves/meltCurve_H0YK42_SNX1.pdf", "Melting_Curves/meltCurve_H0YK42_SNX1.pdf")</f>
        <v>Melting_Curves/meltCurve_H0YK42_SNX1.pdf</v>
      </c>
    </row>
    <row r="469" spans="1:28" x14ac:dyDescent="0.25">
      <c r="A469" t="s">
        <v>473</v>
      </c>
      <c r="B469">
        <v>1</v>
      </c>
      <c r="C469">
        <v>1.01595390169397</v>
      </c>
      <c r="D469">
        <v>1.5226326020549801</v>
      </c>
      <c r="E469">
        <v>2.2186892529852802</v>
      </c>
      <c r="F469">
        <v>1.4791724520966401</v>
      </c>
      <c r="G469">
        <v>1.9680644265481799</v>
      </c>
      <c r="H469">
        <v>1.1872396556512099</v>
      </c>
      <c r="I469">
        <v>2.0023604554290499</v>
      </c>
      <c r="J469">
        <v>2.0460983060261002</v>
      </c>
      <c r="K469">
        <v>1.8719800055540099</v>
      </c>
      <c r="L469">
        <v>10871.3930468419</v>
      </c>
      <c r="M469">
        <v>250</v>
      </c>
      <c r="O469">
        <v>43.482788464778103</v>
      </c>
      <c r="P469">
        <v>0.71867514637844698</v>
      </c>
      <c r="Q469">
        <v>1.5</v>
      </c>
      <c r="R469">
        <v>0.17004988839674001</v>
      </c>
      <c r="S469" t="s">
        <v>2343</v>
      </c>
      <c r="T469" t="s">
        <v>3746</v>
      </c>
      <c r="U469" t="s">
        <v>3746</v>
      </c>
      <c r="V469" t="s">
        <v>3746</v>
      </c>
      <c r="W469" t="s">
        <v>4210</v>
      </c>
      <c r="X469">
        <v>3</v>
      </c>
      <c r="Y469" t="s">
        <v>6068</v>
      </c>
      <c r="Z469" t="s">
        <v>7857</v>
      </c>
      <c r="AA469">
        <v>1.4418689719584961</v>
      </c>
      <c r="AB469" t="str">
        <f>HYPERLINK("Melting_Curves/meltCurve_H0YKU1_TMOD3.pdf", "Melting_Curves/meltCurve_H0YKU1_TMOD3.pdf")</f>
        <v>Melting_Curves/meltCurve_H0YKU1_TMOD3.pdf</v>
      </c>
    </row>
    <row r="470" spans="1:28" x14ac:dyDescent="0.25">
      <c r="A470" t="s">
        <v>474</v>
      </c>
      <c r="B470">
        <v>1</v>
      </c>
      <c r="C470">
        <v>1.0121323529411801</v>
      </c>
      <c r="D470">
        <v>1.2536764705882399</v>
      </c>
      <c r="E470">
        <v>1.45756302521008</v>
      </c>
      <c r="F470">
        <v>0.96071428571428596</v>
      </c>
      <c r="G470">
        <v>1.5139705882352901</v>
      </c>
      <c r="H470">
        <v>0.64080882352941204</v>
      </c>
      <c r="I470">
        <v>1.1368697478991601</v>
      </c>
      <c r="J470">
        <v>1.2071953781512601</v>
      </c>
      <c r="K470">
        <v>1.2815651260504199</v>
      </c>
      <c r="L470">
        <v>10838.1020167392</v>
      </c>
      <c r="M470">
        <v>250</v>
      </c>
      <c r="O470">
        <v>43.349634979850698</v>
      </c>
      <c r="P470">
        <v>0.26174591581817702</v>
      </c>
      <c r="Q470">
        <v>1.18154543338073</v>
      </c>
      <c r="R470">
        <v>8.2920250770140203E-2</v>
      </c>
      <c r="S470" t="s">
        <v>2344</v>
      </c>
      <c r="T470" t="s">
        <v>3746</v>
      </c>
      <c r="U470" t="s">
        <v>3746</v>
      </c>
      <c r="V470" t="s">
        <v>3746</v>
      </c>
      <c r="W470" t="s">
        <v>4211</v>
      </c>
      <c r="X470">
        <v>1</v>
      </c>
      <c r="Y470" t="s">
        <v>6069</v>
      </c>
      <c r="Z470" t="s">
        <v>7858</v>
      </c>
      <c r="AA470">
        <v>1.161244475048709</v>
      </c>
      <c r="AB470" t="str">
        <f>HYPERLINK("Melting_Curves/meltCurve_H0YKY0_CINP.pdf", "Melting_Curves/meltCurve_H0YKY0_CINP.pdf")</f>
        <v>Melting_Curves/meltCurve_H0YKY0_CINP.pdf</v>
      </c>
    </row>
    <row r="471" spans="1:28" x14ac:dyDescent="0.25">
      <c r="A471" t="s">
        <v>475</v>
      </c>
      <c r="B471">
        <v>1</v>
      </c>
      <c r="C471">
        <v>0.94939818226479999</v>
      </c>
      <c r="D471">
        <v>1.3174055256047299</v>
      </c>
      <c r="E471">
        <v>1.69090744547441</v>
      </c>
      <c r="F471">
        <v>1.3333074765026101</v>
      </c>
      <c r="G471">
        <v>1.4420354497149299</v>
      </c>
      <c r="H471">
        <v>1.1125806409908301</v>
      </c>
      <c r="I471">
        <v>1.7971790197675499</v>
      </c>
      <c r="J471">
        <v>1.95374212982715</v>
      </c>
      <c r="K471">
        <v>1.7498610195348401</v>
      </c>
      <c r="L471">
        <v>11474.5660265444</v>
      </c>
      <c r="M471">
        <v>250</v>
      </c>
      <c r="O471">
        <v>45.895327115418702</v>
      </c>
      <c r="P471">
        <v>0.68089720964245204</v>
      </c>
      <c r="Q471">
        <v>1.5</v>
      </c>
      <c r="R471">
        <v>0.48405839884250301</v>
      </c>
      <c r="S471" t="s">
        <v>2345</v>
      </c>
      <c r="T471" t="s">
        <v>3746</v>
      </c>
      <c r="U471" t="s">
        <v>3746</v>
      </c>
      <c r="V471" t="s">
        <v>3746</v>
      </c>
      <c r="W471" t="s">
        <v>4212</v>
      </c>
      <c r="X471">
        <v>2</v>
      </c>
      <c r="Y471" t="s">
        <v>6070</v>
      </c>
      <c r="Z471" t="s">
        <v>7859</v>
      </c>
      <c r="AA471">
        <v>1.4016553228607991</v>
      </c>
      <c r="AB471" t="str">
        <f>HYPERLINK("Melting_Curves/meltCurve_H0YLA2_SRP14.pdf", "Melting_Curves/meltCurve_H0YLA2_SRP14.pdf")</f>
        <v>Melting_Curves/meltCurve_H0YLA2_SRP14.pdf</v>
      </c>
    </row>
    <row r="472" spans="1:28" x14ac:dyDescent="0.25">
      <c r="A472" t="s">
        <v>476</v>
      </c>
      <c r="B472">
        <v>1</v>
      </c>
      <c r="C472">
        <v>1.03544317623287</v>
      </c>
      <c r="D472">
        <v>1.4308339249631401</v>
      </c>
      <c r="E472">
        <v>1.6130741084594</v>
      </c>
      <c r="F472">
        <v>1.03265796515756</v>
      </c>
      <c r="G472">
        <v>1.46622248921413</v>
      </c>
      <c r="H472">
        <v>0.87335481404620197</v>
      </c>
      <c r="I472">
        <v>1.17896346458413</v>
      </c>
      <c r="J472">
        <v>1.01048550051881</v>
      </c>
      <c r="K472">
        <v>0.93233575446452999</v>
      </c>
      <c r="L472">
        <v>10788.7930109189</v>
      </c>
      <c r="M472">
        <v>250</v>
      </c>
      <c r="O472">
        <v>43.152393797960102</v>
      </c>
      <c r="P472">
        <v>0.27843316394295797</v>
      </c>
      <c r="Q472">
        <v>1.1922409947658399</v>
      </c>
      <c r="R472">
        <v>8.41778616504293E-2</v>
      </c>
      <c r="S472" t="s">
        <v>2346</v>
      </c>
      <c r="T472" t="s">
        <v>3746</v>
      </c>
      <c r="U472" t="s">
        <v>3746</v>
      </c>
      <c r="V472" t="s">
        <v>3746</v>
      </c>
      <c r="W472" t="s">
        <v>4213</v>
      </c>
      <c r="X472">
        <v>1</v>
      </c>
      <c r="Y472" t="s">
        <v>6071</v>
      </c>
      <c r="Z472" t="s">
        <v>7860</v>
      </c>
      <c r="AA472">
        <v>1.172007987995527</v>
      </c>
      <c r="AB472" t="str">
        <f>HYPERLINK("Melting_Curves/meltCurve_H0YLC8_PCSK6.pdf", "Melting_Curves/meltCurve_H0YLC8_PCSK6.pdf")</f>
        <v>Melting_Curves/meltCurve_H0YLC8_PCSK6.pdf</v>
      </c>
    </row>
    <row r="473" spans="1:28" x14ac:dyDescent="0.25">
      <c r="A473" t="s">
        <v>477</v>
      </c>
      <c r="B473">
        <v>1</v>
      </c>
      <c r="C473">
        <v>0.95507511909124199</v>
      </c>
      <c r="D473">
        <v>1.2798827409307401</v>
      </c>
      <c r="E473">
        <v>1.20175888603884</v>
      </c>
      <c r="F473">
        <v>1.7739831440087901</v>
      </c>
      <c r="G473">
        <v>1.3282521069989</v>
      </c>
      <c r="H473">
        <v>0.68911689263466502</v>
      </c>
      <c r="I473">
        <v>0.96115793330890398</v>
      </c>
      <c r="J473">
        <v>1.19538292414804</v>
      </c>
      <c r="K473">
        <v>0.72110663246610496</v>
      </c>
      <c r="L473">
        <v>15000</v>
      </c>
      <c r="M473">
        <v>213.335629585829</v>
      </c>
      <c r="Q473">
        <v>0</v>
      </c>
      <c r="R473">
        <v>-4.8373523673953298E-2</v>
      </c>
      <c r="S473" t="s">
        <v>2347</v>
      </c>
      <c r="T473" t="s">
        <v>3746</v>
      </c>
      <c r="U473" t="s">
        <v>3746</v>
      </c>
      <c r="V473" t="s">
        <v>3746</v>
      </c>
      <c r="W473" t="s">
        <v>4214</v>
      </c>
      <c r="X473">
        <v>2</v>
      </c>
      <c r="Y473" t="s">
        <v>6072</v>
      </c>
      <c r="Z473" t="s">
        <v>7861</v>
      </c>
      <c r="AA473">
        <v>0.99647558905253131</v>
      </c>
      <c r="AB473" t="str">
        <f>HYPERLINK("Melting_Curves/meltCurve_H0YLY7_CHP1.pdf", "Melting_Curves/meltCurve_H0YLY7_CHP1.pdf")</f>
        <v>Melting_Curves/meltCurve_H0YLY7_CHP1.pdf</v>
      </c>
    </row>
    <row r="474" spans="1:28" x14ac:dyDescent="0.25">
      <c r="A474" t="s">
        <v>478</v>
      </c>
      <c r="B474">
        <v>1</v>
      </c>
      <c r="C474">
        <v>1.0251677852348999</v>
      </c>
      <c r="D474">
        <v>1.44363323054598</v>
      </c>
      <c r="E474">
        <v>2.51913658625068</v>
      </c>
      <c r="F474">
        <v>1.97904951931798</v>
      </c>
      <c r="G474">
        <v>2.44526573553419</v>
      </c>
      <c r="H474">
        <v>1.00004534736078</v>
      </c>
      <c r="I474">
        <v>2.3362506802104099</v>
      </c>
      <c r="J474">
        <v>2.22927625612189</v>
      </c>
      <c r="K474">
        <v>2.1538635951387599</v>
      </c>
      <c r="L474">
        <v>3535.99691316179</v>
      </c>
      <c r="M474">
        <v>79.052702592977397</v>
      </c>
      <c r="O474">
        <v>44.701006566353598</v>
      </c>
      <c r="P474">
        <v>0.221059615142046</v>
      </c>
      <c r="Q474">
        <v>1.5</v>
      </c>
      <c r="R474">
        <v>-0.14081548367956401</v>
      </c>
      <c r="S474" t="s">
        <v>2348</v>
      </c>
      <c r="T474" t="s">
        <v>3746</v>
      </c>
      <c r="U474" t="s">
        <v>3746</v>
      </c>
      <c r="V474" t="s">
        <v>3746</v>
      </c>
      <c r="W474" t="s">
        <v>4215</v>
      </c>
      <c r="X474">
        <v>1</v>
      </c>
      <c r="Y474" t="s">
        <v>6073</v>
      </c>
      <c r="Z474" t="s">
        <v>7862</v>
      </c>
      <c r="AA474">
        <v>1.420779121931758</v>
      </c>
      <c r="AB474" t="str">
        <f>HYPERLINK("Melting_Curves/meltCurve_H0YM03_COPS2.pdf", "Melting_Curves/meltCurve_H0YM03_COPS2.pdf")</f>
        <v>Melting_Curves/meltCurve_H0YM03_COPS2.pdf</v>
      </c>
    </row>
    <row r="475" spans="1:28" x14ac:dyDescent="0.25">
      <c r="A475" t="s">
        <v>479</v>
      </c>
      <c r="B475">
        <v>1</v>
      </c>
      <c r="C475">
        <v>1.26701896176562</v>
      </c>
      <c r="D475">
        <v>2.2656978551445399</v>
      </c>
      <c r="E475">
        <v>3.1286136151694102</v>
      </c>
      <c r="F475">
        <v>2.0606154802611099</v>
      </c>
      <c r="G475">
        <v>2.0979950264221299</v>
      </c>
      <c r="H475">
        <v>1.28629157600249</v>
      </c>
      <c r="I475">
        <v>2.2948787690394798</v>
      </c>
      <c r="J475">
        <v>2.3491995648119399</v>
      </c>
      <c r="K475">
        <v>2.0922831830898398</v>
      </c>
      <c r="L475">
        <v>10719.1500022564</v>
      </c>
      <c r="M475">
        <v>250</v>
      </c>
      <c r="O475">
        <v>42.873856205229998</v>
      </c>
      <c r="P475">
        <v>0.72888241956587196</v>
      </c>
      <c r="Q475">
        <v>1.5</v>
      </c>
      <c r="R475">
        <v>-0.56387692019699998</v>
      </c>
      <c r="S475" t="s">
        <v>2349</v>
      </c>
      <c r="T475" t="s">
        <v>3746</v>
      </c>
      <c r="U475" t="s">
        <v>3746</v>
      </c>
      <c r="V475" t="s">
        <v>3746</v>
      </c>
      <c r="W475" t="s">
        <v>4216</v>
      </c>
      <c r="X475">
        <v>5</v>
      </c>
      <c r="Y475" t="s">
        <v>6074</v>
      </c>
      <c r="Z475" t="s">
        <v>7863</v>
      </c>
      <c r="AA475">
        <v>1.4520190425949691</v>
      </c>
      <c r="AB475" t="str">
        <f>HYPERLINK("Melting_Curves/meltCurve_H0YM70_PSME2.pdf", "Melting_Curves/meltCurve_H0YM70_PSME2.pdf")</f>
        <v>Melting_Curves/meltCurve_H0YM70_PSME2.pdf</v>
      </c>
    </row>
    <row r="476" spans="1:28" x14ac:dyDescent="0.25">
      <c r="A476" t="s">
        <v>480</v>
      </c>
      <c r="B476">
        <v>1</v>
      </c>
      <c r="C476">
        <v>0.97770497654497301</v>
      </c>
      <c r="D476">
        <v>3.43068019579849</v>
      </c>
      <c r="E476">
        <v>3.9851876402202699</v>
      </c>
      <c r="F476">
        <v>1.9593871099326901</v>
      </c>
      <c r="G476">
        <v>5.98817050785234</v>
      </c>
      <c r="H476">
        <v>1.2953803793595799</v>
      </c>
      <c r="I476">
        <v>4.3633999592086496</v>
      </c>
      <c r="J476">
        <v>3.1861870283499898</v>
      </c>
      <c r="K476">
        <v>2.12484703242913</v>
      </c>
      <c r="L476">
        <v>11002.183535594</v>
      </c>
      <c r="M476">
        <v>250</v>
      </c>
      <c r="O476">
        <v>44.005916698995101</v>
      </c>
      <c r="P476">
        <v>0.71013176284227797</v>
      </c>
      <c r="Q476">
        <v>1.5</v>
      </c>
      <c r="R476">
        <v>-0.70079668383914395</v>
      </c>
      <c r="S476" t="s">
        <v>2350</v>
      </c>
      <c r="T476" t="s">
        <v>3746</v>
      </c>
      <c r="U476" t="s">
        <v>3746</v>
      </c>
      <c r="V476" t="s">
        <v>3746</v>
      </c>
      <c r="W476" t="s">
        <v>4217</v>
      </c>
      <c r="X476">
        <v>1</v>
      </c>
      <c r="Y476" t="s">
        <v>6075</v>
      </c>
      <c r="Z476" t="s">
        <v>7864</v>
      </c>
      <c r="AA476">
        <v>1.4331491469719559</v>
      </c>
      <c r="AB476" t="str">
        <f>HYPERLINK("Melting_Curves/meltCurve_H0YMB1_RMDN3.pdf", "Melting_Curves/meltCurve_H0YMB1_RMDN3.pdf")</f>
        <v>Melting_Curves/meltCurve_H0YMB1_RMDN3.pdf</v>
      </c>
    </row>
    <row r="477" spans="1:28" x14ac:dyDescent="0.25">
      <c r="A477" t="s">
        <v>481</v>
      </c>
      <c r="B477">
        <v>1</v>
      </c>
      <c r="C477">
        <v>1.03047118380062</v>
      </c>
      <c r="D477">
        <v>1.3380224558670799</v>
      </c>
      <c r="E477">
        <v>1.68581256490135</v>
      </c>
      <c r="F477">
        <v>1.08568600726895</v>
      </c>
      <c r="G477">
        <v>1.2585020768432</v>
      </c>
      <c r="H477">
        <v>0.82275441329179699</v>
      </c>
      <c r="I477">
        <v>1.23265511422638</v>
      </c>
      <c r="J477">
        <v>1.2606275960540001</v>
      </c>
      <c r="K477">
        <v>1.1934384735202499</v>
      </c>
      <c r="L477">
        <v>10806.6124633743</v>
      </c>
      <c r="M477">
        <v>250</v>
      </c>
      <c r="O477">
        <v>43.2237066712566</v>
      </c>
      <c r="P477">
        <v>0.33935003601774899</v>
      </c>
      <c r="Q477">
        <v>1.2346873384059001</v>
      </c>
      <c r="R477">
        <v>0.159324381369638</v>
      </c>
      <c r="S477" t="s">
        <v>2351</v>
      </c>
      <c r="T477" t="s">
        <v>3746</v>
      </c>
      <c r="U477" t="s">
        <v>3746</v>
      </c>
      <c r="V477" t="s">
        <v>3746</v>
      </c>
      <c r="W477" t="s">
        <v>4218</v>
      </c>
      <c r="X477">
        <v>3</v>
      </c>
      <c r="Y477" t="s">
        <v>6076</v>
      </c>
      <c r="Z477" t="s">
        <v>7865</v>
      </c>
      <c r="AA477">
        <v>1.2094293036585499</v>
      </c>
      <c r="AB477" t="str">
        <f>HYPERLINK("Melting_Curves/meltCurve_H0YMB3_GMPR2.pdf", "Melting_Curves/meltCurve_H0YMB3_GMPR2.pdf")</f>
        <v>Melting_Curves/meltCurve_H0YMB3_GMPR2.pdf</v>
      </c>
    </row>
    <row r="478" spans="1:28" x14ac:dyDescent="0.25">
      <c r="A478" t="s">
        <v>482</v>
      </c>
      <c r="B478">
        <v>1</v>
      </c>
      <c r="C478">
        <v>0.888183692444516</v>
      </c>
      <c r="D478">
        <v>1.19242430367466</v>
      </c>
      <c r="E478">
        <v>1.2692727493228799</v>
      </c>
      <c r="F478">
        <v>0.914743097384485</v>
      </c>
      <c r="G478">
        <v>1.0529571087844101</v>
      </c>
      <c r="H478">
        <v>0.67926587702631702</v>
      </c>
      <c r="I478">
        <v>1.0884100739782501</v>
      </c>
      <c r="J478">
        <v>1.01714031612564</v>
      </c>
      <c r="K478">
        <v>0.921696244492056</v>
      </c>
      <c r="L478">
        <v>14689.6227929014</v>
      </c>
      <c r="M478">
        <v>250</v>
      </c>
      <c r="O478">
        <v>58.754738581888397</v>
      </c>
      <c r="P478">
        <v>-7.80378918511591E-2</v>
      </c>
      <c r="Q478">
        <v>0.92663847454833603</v>
      </c>
      <c r="R478">
        <v>8.6161743676267402E-2</v>
      </c>
      <c r="S478" t="s">
        <v>2352</v>
      </c>
      <c r="T478" t="s">
        <v>3746</v>
      </c>
      <c r="U478" t="s">
        <v>3746</v>
      </c>
      <c r="V478" t="s">
        <v>3746</v>
      </c>
      <c r="W478" t="s">
        <v>4219</v>
      </c>
      <c r="X478">
        <v>6</v>
      </c>
      <c r="Y478" t="s">
        <v>6077</v>
      </c>
      <c r="Z478" t="s">
        <v>7866</v>
      </c>
      <c r="AA478">
        <v>0.9725177571902841</v>
      </c>
      <c r="AB478" t="str">
        <f>HYPERLINK("Melting_Curves/meltCurve_H0YMM1_ANXA2.pdf", "Melting_Curves/meltCurve_H0YMM1_ANXA2.pdf")</f>
        <v>Melting_Curves/meltCurve_H0YMM1_ANXA2.pdf</v>
      </c>
    </row>
    <row r="479" spans="1:28" x14ac:dyDescent="0.25">
      <c r="A479" t="s">
        <v>483</v>
      </c>
      <c r="B479">
        <v>1</v>
      </c>
      <c r="C479">
        <v>1.0495800426225399</v>
      </c>
      <c r="D479">
        <v>2.3666792027077799</v>
      </c>
      <c r="E479">
        <v>4.3033721950607999</v>
      </c>
      <c r="F479">
        <v>3.40359784380093</v>
      </c>
      <c r="G479">
        <v>3.7906481133258101</v>
      </c>
      <c r="H479">
        <v>2.7976682963520099</v>
      </c>
      <c r="I479">
        <v>3.55396765701391</v>
      </c>
      <c r="J479">
        <v>3.7418829133759601</v>
      </c>
      <c r="K479">
        <v>3.6296853453679301</v>
      </c>
      <c r="L479">
        <v>10819.6595176921</v>
      </c>
      <c r="M479">
        <v>250</v>
      </c>
      <c r="O479">
        <v>43.275873654948903</v>
      </c>
      <c r="P479">
        <v>0.72211144674639904</v>
      </c>
      <c r="Q479">
        <v>1.5</v>
      </c>
      <c r="R479">
        <v>-1.75148593378437</v>
      </c>
      <c r="S479" t="s">
        <v>2353</v>
      </c>
      <c r="T479" t="s">
        <v>3746</v>
      </c>
      <c r="U479" t="s">
        <v>3746</v>
      </c>
      <c r="V479" t="s">
        <v>3746</v>
      </c>
      <c r="W479" t="s">
        <v>4220</v>
      </c>
      <c r="X479">
        <v>6</v>
      </c>
      <c r="Y479" t="s">
        <v>6078</v>
      </c>
      <c r="Z479" t="s">
        <v>7867</v>
      </c>
      <c r="AA479">
        <v>1.445318055482651</v>
      </c>
      <c r="AB479" t="str">
        <f>HYPERLINK("Melting_Curves/meltCurve_H0YN18_PSMA4.pdf", "Melting_Curves/meltCurve_H0YN18_PSMA4.pdf")</f>
        <v>Melting_Curves/meltCurve_H0YN18_PSMA4.pdf</v>
      </c>
    </row>
    <row r="480" spans="1:28" x14ac:dyDescent="0.25">
      <c r="A480" t="s">
        <v>484</v>
      </c>
      <c r="B480">
        <v>1</v>
      </c>
      <c r="C480">
        <v>1.1429775551488299</v>
      </c>
      <c r="D480">
        <v>2.4843464020807202</v>
      </c>
      <c r="E480">
        <v>5.1201714671033596</v>
      </c>
      <c r="F480">
        <v>3.5911761872652002</v>
      </c>
      <c r="G480">
        <v>4.1884211540314</v>
      </c>
      <c r="H480">
        <v>2.5905500433484301</v>
      </c>
      <c r="I480">
        <v>3.9613235719102202</v>
      </c>
      <c r="J480">
        <v>4.04513052692419</v>
      </c>
      <c r="K480">
        <v>3.7262787785377101</v>
      </c>
      <c r="L480">
        <v>10764.258047789701</v>
      </c>
      <c r="M480">
        <v>250</v>
      </c>
      <c r="O480">
        <v>43.054277005170398</v>
      </c>
      <c r="P480">
        <v>0.72582800919906798</v>
      </c>
      <c r="Q480">
        <v>1.5</v>
      </c>
      <c r="R480">
        <v>-1.7145083750436201</v>
      </c>
      <c r="S480" t="s">
        <v>2354</v>
      </c>
      <c r="T480" t="s">
        <v>3746</v>
      </c>
      <c r="U480" t="s">
        <v>3746</v>
      </c>
      <c r="V480" t="s">
        <v>3746</v>
      </c>
      <c r="W480" t="s">
        <v>4221</v>
      </c>
      <c r="X480">
        <v>2</v>
      </c>
      <c r="Y480" t="s">
        <v>6079</v>
      </c>
      <c r="Z480" t="s">
        <v>7868</v>
      </c>
      <c r="AA480">
        <v>1.4490116812576099</v>
      </c>
      <c r="AB480" t="str">
        <f>HYPERLINK("Melting_Curves/meltCurve_H0YN26_ANP32A.pdf", "Melting_Curves/meltCurve_H0YN26_ANP32A.pdf")</f>
        <v>Melting_Curves/meltCurve_H0YN26_ANP32A.pdf</v>
      </c>
    </row>
    <row r="481" spans="1:28" x14ac:dyDescent="0.25">
      <c r="A481" t="s">
        <v>485</v>
      </c>
      <c r="B481">
        <v>1</v>
      </c>
      <c r="C481">
        <v>1.0416383936833</v>
      </c>
      <c r="D481">
        <v>1.29331935105792</v>
      </c>
      <c r="E481">
        <v>1.72080685953982</v>
      </c>
      <c r="F481">
        <v>1.05656652890013</v>
      </c>
      <c r="G481">
        <v>0.99796434519770505</v>
      </c>
      <c r="H481">
        <v>1.04009623095429</v>
      </c>
      <c r="I481">
        <v>1.0377521436061901</v>
      </c>
      <c r="J481">
        <v>1.08636111282463</v>
      </c>
      <c r="K481">
        <v>0.86669545370427503</v>
      </c>
      <c r="L481">
        <v>15000</v>
      </c>
      <c r="M481">
        <v>212.41359521520701</v>
      </c>
      <c r="Q481">
        <v>0</v>
      </c>
      <c r="R481">
        <v>-0.221143401992966</v>
      </c>
      <c r="S481" t="s">
        <v>2355</v>
      </c>
      <c r="T481" t="s">
        <v>3746</v>
      </c>
      <c r="U481" t="s">
        <v>3746</v>
      </c>
      <c r="V481" t="s">
        <v>3746</v>
      </c>
      <c r="W481" t="s">
        <v>4222</v>
      </c>
      <c r="X481">
        <v>1</v>
      </c>
      <c r="Y481" t="s">
        <v>6080</v>
      </c>
      <c r="Z481" t="s">
        <v>7869</v>
      </c>
      <c r="AA481">
        <v>0.99845710722667247</v>
      </c>
      <c r="AB481" t="str">
        <f>HYPERLINK("Melting_Curves/meltCurve_H0YN29_CD276.pdf", "Melting_Curves/meltCurve_H0YN29_CD276.pdf")</f>
        <v>Melting_Curves/meltCurve_H0YN29_CD276.pdf</v>
      </c>
    </row>
    <row r="482" spans="1:28" x14ac:dyDescent="0.25">
      <c r="A482" t="s">
        <v>486</v>
      </c>
      <c r="B482">
        <v>1</v>
      </c>
      <c r="C482">
        <v>1.1666389995573301</v>
      </c>
      <c r="D482">
        <v>1.56991478530323</v>
      </c>
      <c r="E482">
        <v>1.9079515272244401</v>
      </c>
      <c r="F482">
        <v>1.55574922532094</v>
      </c>
      <c r="G482">
        <v>1.7254869411243901</v>
      </c>
      <c r="H482">
        <v>1.1202965914121299</v>
      </c>
      <c r="I482">
        <v>1.7202301903497099</v>
      </c>
      <c r="J482">
        <v>1.5339198760513499</v>
      </c>
      <c r="K482">
        <v>1.37690903054449</v>
      </c>
      <c r="L482">
        <v>10754.7466863307</v>
      </c>
      <c r="M482">
        <v>250</v>
      </c>
      <c r="O482">
        <v>43.016233898121499</v>
      </c>
      <c r="P482">
        <v>0.726469922277588</v>
      </c>
      <c r="Q482">
        <v>1.5</v>
      </c>
      <c r="R482">
        <v>0.446786193717786</v>
      </c>
      <c r="S482" t="s">
        <v>2356</v>
      </c>
      <c r="T482" t="s">
        <v>3746</v>
      </c>
      <c r="U482" t="s">
        <v>3746</v>
      </c>
      <c r="V482" t="s">
        <v>3746</v>
      </c>
      <c r="W482" t="s">
        <v>4223</v>
      </c>
      <c r="X482">
        <v>1</v>
      </c>
      <c r="Y482" t="s">
        <v>6081</v>
      </c>
      <c r="Z482" t="s">
        <v>7870</v>
      </c>
      <c r="AA482">
        <v>1.449645805402787</v>
      </c>
      <c r="AB482" t="str">
        <f>HYPERLINK("Melting_Curves/meltCurve_H0YN73_RPS17L.pdf", "Melting_Curves/meltCurve_H0YN73_RPS17L.pdf")</f>
        <v>Melting_Curves/meltCurve_H0YN73_RPS17L.pdf</v>
      </c>
    </row>
    <row r="483" spans="1:28" x14ac:dyDescent="0.25">
      <c r="A483" t="s">
        <v>487</v>
      </c>
      <c r="B483">
        <v>1</v>
      </c>
      <c r="C483">
        <v>1.1933488832343799</v>
      </c>
      <c r="D483">
        <v>1.7781311846197301</v>
      </c>
      <c r="E483">
        <v>2.0722363584958998</v>
      </c>
      <c r="F483">
        <v>1.93776505513147</v>
      </c>
      <c r="G483">
        <v>1.8674017528979401</v>
      </c>
      <c r="H483">
        <v>0.94451512581283603</v>
      </c>
      <c r="I483">
        <v>1.5670412779191401</v>
      </c>
      <c r="J483">
        <v>1.62040571105457</v>
      </c>
      <c r="K483">
        <v>1.43638676844784</v>
      </c>
      <c r="L483">
        <v>10744.786126228701</v>
      </c>
      <c r="M483">
        <v>250</v>
      </c>
      <c r="O483">
        <v>42.976394061274</v>
      </c>
      <c r="P483">
        <v>0.727143369588512</v>
      </c>
      <c r="Q483">
        <v>1.5</v>
      </c>
      <c r="R483">
        <v>0.235040251394</v>
      </c>
      <c r="S483" t="s">
        <v>2357</v>
      </c>
      <c r="T483" t="s">
        <v>3746</v>
      </c>
      <c r="U483" t="s">
        <v>3746</v>
      </c>
      <c r="V483" t="s">
        <v>3746</v>
      </c>
      <c r="W483" t="s">
        <v>4224</v>
      </c>
      <c r="X483">
        <v>12</v>
      </c>
      <c r="Y483" t="s">
        <v>6082</v>
      </c>
      <c r="Z483" t="s">
        <v>7871</v>
      </c>
      <c r="AA483">
        <v>1.4503098777006509</v>
      </c>
      <c r="AB483" t="str">
        <f>HYPERLINK("Melting_Curves/meltCurve_H0YNE3_PSME1.pdf", "Melting_Curves/meltCurve_H0YNE3_PSME1.pdf")</f>
        <v>Melting_Curves/meltCurve_H0YNE3_PSME1.pdf</v>
      </c>
    </row>
    <row r="484" spans="1:28" x14ac:dyDescent="0.25">
      <c r="A484" t="s">
        <v>488</v>
      </c>
      <c r="B484">
        <v>1</v>
      </c>
      <c r="C484">
        <v>0.95714699913018297</v>
      </c>
      <c r="D484">
        <v>1.4242389098289401</v>
      </c>
      <c r="E484">
        <v>1.6886053928675</v>
      </c>
      <c r="F484">
        <v>1.1997680487097699</v>
      </c>
      <c r="G484">
        <v>1.42389098289359</v>
      </c>
      <c r="H484">
        <v>0.77605102928384995</v>
      </c>
      <c r="I484">
        <v>1.5376051029283899</v>
      </c>
      <c r="J484">
        <v>1.4932444186720799</v>
      </c>
      <c r="K484">
        <v>1.3837634096839699</v>
      </c>
      <c r="L484">
        <v>11093.659078300099</v>
      </c>
      <c r="M484">
        <v>250</v>
      </c>
      <c r="O484">
        <v>44.371796704113997</v>
      </c>
      <c r="P484">
        <v>0.51539005106588298</v>
      </c>
      <c r="Q484">
        <v>1.3659005200741099</v>
      </c>
      <c r="R484">
        <v>0.30915661422451701</v>
      </c>
      <c r="S484" t="s">
        <v>2358</v>
      </c>
      <c r="T484" t="s">
        <v>3746</v>
      </c>
      <c r="U484" t="s">
        <v>3746</v>
      </c>
      <c r="V484" t="s">
        <v>3746</v>
      </c>
      <c r="W484" t="s">
        <v>4225</v>
      </c>
      <c r="X484">
        <v>5</v>
      </c>
      <c r="Y484" t="s">
        <v>6083</v>
      </c>
      <c r="Z484" t="s">
        <v>7872</v>
      </c>
      <c r="AA484">
        <v>1.312515968176073</v>
      </c>
      <c r="AB484" t="str">
        <f>HYPERLINK("Melting_Curves/meltCurve_H0YNE9_RAB8B.pdf", "Melting_Curves/meltCurve_H0YNE9_RAB8B.pdf")</f>
        <v>Melting_Curves/meltCurve_H0YNE9_RAB8B.pdf</v>
      </c>
    </row>
    <row r="485" spans="1:28" x14ac:dyDescent="0.25">
      <c r="A485" t="s">
        <v>489</v>
      </c>
      <c r="B485">
        <v>1</v>
      </c>
      <c r="C485">
        <v>0.96487970023665504</v>
      </c>
      <c r="D485">
        <v>1.4679858006836699</v>
      </c>
      <c r="E485">
        <v>2.0874967131212201</v>
      </c>
      <c r="F485">
        <v>1.8779581909019201</v>
      </c>
      <c r="G485">
        <v>2.9787338942939798</v>
      </c>
      <c r="H485">
        <v>2.1550420720483801</v>
      </c>
      <c r="I485">
        <v>3.4449776492242998</v>
      </c>
      <c r="J485">
        <v>3.6269063896923499</v>
      </c>
      <c r="K485">
        <v>3.2696226663160699</v>
      </c>
      <c r="L485">
        <v>11376.616355018499</v>
      </c>
      <c r="M485">
        <v>250</v>
      </c>
      <c r="O485">
        <v>45.503552034054998</v>
      </c>
      <c r="P485">
        <v>0.68675955533919697</v>
      </c>
      <c r="Q485">
        <v>1.5</v>
      </c>
      <c r="R485">
        <v>-0.63775055092926303</v>
      </c>
      <c r="S485" t="s">
        <v>2359</v>
      </c>
      <c r="T485" t="s">
        <v>3746</v>
      </c>
      <c r="U485" t="s">
        <v>3746</v>
      </c>
      <c r="V485" t="s">
        <v>3746</v>
      </c>
      <c r="W485" t="s">
        <v>4226</v>
      </c>
      <c r="X485">
        <v>1</v>
      </c>
      <c r="Y485" t="s">
        <v>6084</v>
      </c>
      <c r="Z485" t="s">
        <v>7873</v>
      </c>
      <c r="AA485">
        <v>1.4081856447628169</v>
      </c>
      <c r="AB485" t="str">
        <f>HYPERLINK("Melting_Curves/meltCurve_H3BLT5_KIAA1109.pdf", "Melting_Curves/meltCurve_H3BLT5_KIAA1109.pdf")</f>
        <v>Melting_Curves/meltCurve_H3BLT5_KIAA1109.pdf</v>
      </c>
    </row>
    <row r="486" spans="1:28" x14ac:dyDescent="0.25">
      <c r="A486" t="s">
        <v>490</v>
      </c>
      <c r="B486">
        <v>1</v>
      </c>
      <c r="C486">
        <v>1.01795987608792</v>
      </c>
      <c r="D486">
        <v>1.42012096179377</v>
      </c>
      <c r="E486">
        <v>1.7910089983773401</v>
      </c>
      <c r="F486">
        <v>1.29668830210946</v>
      </c>
      <c r="G486">
        <v>1.3851969317008399</v>
      </c>
      <c r="H486">
        <v>1.1700840831981101</v>
      </c>
      <c r="I486">
        <v>2.4678418645817999</v>
      </c>
      <c r="J486">
        <v>3.1180483847175098</v>
      </c>
      <c r="K486">
        <v>3.1461129960171101</v>
      </c>
      <c r="L486">
        <v>3452.2085094579502</v>
      </c>
      <c r="M486">
        <v>76.739431767696701</v>
      </c>
      <c r="O486">
        <v>44.955589323382803</v>
      </c>
      <c r="P486">
        <v>0.213375708150399</v>
      </c>
      <c r="Q486">
        <v>1.5</v>
      </c>
      <c r="R486">
        <v>-4.87545084306669E-2</v>
      </c>
      <c r="S486" t="s">
        <v>2360</v>
      </c>
      <c r="T486" t="s">
        <v>3746</v>
      </c>
      <c r="U486" t="s">
        <v>3746</v>
      </c>
      <c r="V486" t="s">
        <v>3746</v>
      </c>
      <c r="W486" t="s">
        <v>4227</v>
      </c>
      <c r="X486">
        <v>6</v>
      </c>
      <c r="Y486" t="s">
        <v>6085</v>
      </c>
      <c r="Z486" t="s">
        <v>7874</v>
      </c>
      <c r="AA486">
        <v>1.416477791773219</v>
      </c>
      <c r="AB486" t="str">
        <f>HYPERLINK("Melting_Curves/meltCurve_H3BLU7_AKR7A2.pdf", "Melting_Curves/meltCurve_H3BLU7_AKR7A2.pdf")</f>
        <v>Melting_Curves/meltCurve_H3BLU7_AKR7A2.pdf</v>
      </c>
    </row>
    <row r="487" spans="1:28" x14ac:dyDescent="0.25">
      <c r="A487" t="s">
        <v>491</v>
      </c>
      <c r="B487">
        <v>1</v>
      </c>
      <c r="C487">
        <v>1.0029978016121499</v>
      </c>
      <c r="D487">
        <v>1.1450269802145101</v>
      </c>
      <c r="E487">
        <v>1.8419825461328401</v>
      </c>
      <c r="F487">
        <v>0.76290720138565105</v>
      </c>
      <c r="G487">
        <v>0.60903337552461501</v>
      </c>
      <c r="H487">
        <v>0.78309239890746796</v>
      </c>
      <c r="I487">
        <v>0.910532276330691</v>
      </c>
      <c r="J487">
        <v>1.17866897608421</v>
      </c>
      <c r="K487">
        <v>1.12317633735261</v>
      </c>
      <c r="L487">
        <v>10837.5181432305</v>
      </c>
      <c r="M487">
        <v>250</v>
      </c>
      <c r="O487">
        <v>43.347299624693399</v>
      </c>
      <c r="P487">
        <v>6.3877251558203202E-2</v>
      </c>
      <c r="Q487">
        <v>1.04430250055385</v>
      </c>
      <c r="R487">
        <v>2.8547994185752499E-3</v>
      </c>
      <c r="S487" t="s">
        <v>2361</v>
      </c>
      <c r="T487" t="s">
        <v>3746</v>
      </c>
      <c r="U487" t="s">
        <v>3746</v>
      </c>
      <c r="V487" t="s">
        <v>3746</v>
      </c>
      <c r="W487" t="s">
        <v>4228</v>
      </c>
      <c r="X487">
        <v>1</v>
      </c>
      <c r="Y487" t="s">
        <v>6086</v>
      </c>
      <c r="Z487" t="s">
        <v>7875</v>
      </c>
      <c r="AA487">
        <v>1.039351910342998</v>
      </c>
      <c r="AB487" t="str">
        <f>HYPERLINK("Melting_Curves/meltCurve_H3BMB5_TNFRSF17.pdf", "Melting_Curves/meltCurve_H3BMB5_TNFRSF17.pdf")</f>
        <v>Melting_Curves/meltCurve_H3BMB5_TNFRSF17.pdf</v>
      </c>
    </row>
    <row r="488" spans="1:28" x14ac:dyDescent="0.25">
      <c r="A488" t="s">
        <v>492</v>
      </c>
      <c r="B488">
        <v>1</v>
      </c>
      <c r="C488">
        <v>1.3702346783724499</v>
      </c>
      <c r="D488">
        <v>1.6530980921830201</v>
      </c>
      <c r="E488">
        <v>2.3908492318082102</v>
      </c>
      <c r="F488">
        <v>1.9265574877595799</v>
      </c>
      <c r="G488">
        <v>2.2588215431369201</v>
      </c>
      <c r="H488">
        <v>2.89464798244133</v>
      </c>
      <c r="I488">
        <v>2.4767854127975699</v>
      </c>
      <c r="J488">
        <v>2.3594462265743701</v>
      </c>
      <c r="K488">
        <v>2.26489954414992</v>
      </c>
      <c r="L488">
        <v>10680.0232277501</v>
      </c>
      <c r="M488">
        <v>250</v>
      </c>
      <c r="O488">
        <v>42.7173659413697</v>
      </c>
      <c r="P488">
        <v>0.73155271478409201</v>
      </c>
      <c r="Q488">
        <v>1.5</v>
      </c>
      <c r="R488">
        <v>-0.97620909000619305</v>
      </c>
      <c r="S488" t="s">
        <v>2362</v>
      </c>
      <c r="T488" t="s">
        <v>3746</v>
      </c>
      <c r="U488" t="s">
        <v>3746</v>
      </c>
      <c r="V488" t="s">
        <v>3746</v>
      </c>
      <c r="W488" t="s">
        <v>4229</v>
      </c>
      <c r="X488">
        <v>2</v>
      </c>
      <c r="Y488" t="s">
        <v>6087</v>
      </c>
      <c r="Z488" t="s">
        <v>7876</v>
      </c>
      <c r="AA488">
        <v>1.4546276314983559</v>
      </c>
      <c r="AB488" t="str">
        <f>HYPERLINK("Melting_Curves/meltCurve_H3BMF2_JMJD8.pdf", "Melting_Curves/meltCurve_H3BMF2_JMJD8.pdf")</f>
        <v>Melting_Curves/meltCurve_H3BMF2_JMJD8.pdf</v>
      </c>
    </row>
    <row r="489" spans="1:28" x14ac:dyDescent="0.25">
      <c r="A489" t="s">
        <v>493</v>
      </c>
      <c r="B489">
        <v>1</v>
      </c>
      <c r="C489">
        <v>1.3968016535668599</v>
      </c>
      <c r="D489">
        <v>2.7398079904267201</v>
      </c>
      <c r="E489">
        <v>3.1515678968696501</v>
      </c>
      <c r="F489">
        <v>1.85795099132421</v>
      </c>
      <c r="G489">
        <v>2.6824770866762799</v>
      </c>
      <c r="H489">
        <v>1.84133373222008</v>
      </c>
      <c r="I489">
        <v>2.9886589246375999</v>
      </c>
      <c r="J489">
        <v>2.5136120101172201</v>
      </c>
      <c r="K489">
        <v>2.1684027305610698</v>
      </c>
      <c r="L489">
        <v>1.0000000000000001E-5</v>
      </c>
      <c r="M489">
        <v>50.600422953328398</v>
      </c>
      <c r="Q489">
        <v>1.5</v>
      </c>
      <c r="R489">
        <v>-1.2054297055610901</v>
      </c>
      <c r="S489" t="s">
        <v>2363</v>
      </c>
      <c r="T489" t="s">
        <v>3746</v>
      </c>
      <c r="U489" t="s">
        <v>3746</v>
      </c>
      <c r="V489" t="s">
        <v>3746</v>
      </c>
      <c r="W489" t="s">
        <v>4230</v>
      </c>
      <c r="X489">
        <v>1</v>
      </c>
      <c r="Y489" t="s">
        <v>6088</v>
      </c>
      <c r="Z489" t="s">
        <v>7877</v>
      </c>
      <c r="AA489">
        <v>1.5</v>
      </c>
      <c r="AB489" t="str">
        <f>HYPERLINK("Melting_Curves/meltCurve_H3BMQ1_PFDN5.pdf", "Melting_Curves/meltCurve_H3BMQ1_PFDN5.pdf")</f>
        <v>Melting_Curves/meltCurve_H3BMQ1_PFDN5.pdf</v>
      </c>
    </row>
    <row r="490" spans="1:28" x14ac:dyDescent="0.25">
      <c r="A490" t="s">
        <v>494</v>
      </c>
      <c r="B490">
        <v>1</v>
      </c>
      <c r="C490">
        <v>1.0585780647193099</v>
      </c>
      <c r="D490">
        <v>1.34162664357137</v>
      </c>
      <c r="E490">
        <v>1.6081410912526599</v>
      </c>
      <c r="F490">
        <v>1.00708605621605</v>
      </c>
      <c r="G490">
        <v>1.2317140382647001</v>
      </c>
      <c r="H490">
        <v>0.458641051885678</v>
      </c>
      <c r="I490">
        <v>1.08385166522321</v>
      </c>
      <c r="J490">
        <v>1.1855759389024501</v>
      </c>
      <c r="K490">
        <v>1.0095268089126801</v>
      </c>
      <c r="L490">
        <v>2389.8084895830498</v>
      </c>
      <c r="M490">
        <v>36.477113100041699</v>
      </c>
      <c r="O490">
        <v>65.319311077018995</v>
      </c>
      <c r="P490">
        <v>1.2970277686025799E-2</v>
      </c>
      <c r="Q490">
        <v>1.0929028686003699</v>
      </c>
      <c r="R490">
        <v>-0.108952654012689</v>
      </c>
      <c r="S490" t="s">
        <v>2364</v>
      </c>
      <c r="T490" t="s">
        <v>3746</v>
      </c>
      <c r="U490" t="s">
        <v>3746</v>
      </c>
      <c r="V490" t="s">
        <v>3746</v>
      </c>
      <c r="W490" t="s">
        <v>4231</v>
      </c>
      <c r="X490">
        <v>1</v>
      </c>
      <c r="Y490" t="s">
        <v>6089</v>
      </c>
      <c r="Z490" t="s">
        <v>7878</v>
      </c>
      <c r="AA490">
        <v>1.0140054033974431</v>
      </c>
      <c r="AB490" t="str">
        <f>HYPERLINK("Melting_Curves/meltCurve_H3BMT0_HN1L.pdf", "Melting_Curves/meltCurve_H3BMT0_HN1L.pdf")</f>
        <v>Melting_Curves/meltCurve_H3BMT0_HN1L.pdf</v>
      </c>
    </row>
    <row r="491" spans="1:28" x14ac:dyDescent="0.25">
      <c r="A491" t="s">
        <v>495</v>
      </c>
      <c r="B491">
        <v>1</v>
      </c>
      <c r="C491">
        <v>1.0330556428796001</v>
      </c>
      <c r="D491">
        <v>1.3846746306193001</v>
      </c>
      <c r="E491">
        <v>1.5284973278843099</v>
      </c>
      <c r="F491">
        <v>1.13050927381327</v>
      </c>
      <c r="G491">
        <v>1.24907261867337</v>
      </c>
      <c r="H491">
        <v>0.697437912606099</v>
      </c>
      <c r="I491">
        <v>1.12049669915121</v>
      </c>
      <c r="J491">
        <v>1.1356177302735</v>
      </c>
      <c r="K491">
        <v>1.0635020433825799</v>
      </c>
      <c r="L491">
        <v>1.0000000000000001E-5</v>
      </c>
      <c r="M491">
        <v>1.0000000000000001E-5</v>
      </c>
      <c r="Q491">
        <v>1.2685714568664299</v>
      </c>
      <c r="R491">
        <v>-3.4922944536219798E-9</v>
      </c>
      <c r="S491" t="s">
        <v>2365</v>
      </c>
      <c r="T491" t="s">
        <v>3746</v>
      </c>
      <c r="U491" t="s">
        <v>3746</v>
      </c>
      <c r="V491" t="s">
        <v>3746</v>
      </c>
      <c r="W491" t="s">
        <v>4232</v>
      </c>
      <c r="X491">
        <v>7</v>
      </c>
      <c r="Y491" t="s">
        <v>6090</v>
      </c>
      <c r="Z491" t="s">
        <v>7879</v>
      </c>
      <c r="AA491">
        <v>1.1342863873371221</v>
      </c>
      <c r="AB491" t="str">
        <f>HYPERLINK("Melting_Curves/meltCurve_H3BNC6_CDH1.pdf", "Melting_Curves/meltCurve_H3BNC6_CDH1.pdf")</f>
        <v>Melting_Curves/meltCurve_H3BNC6_CDH1.pdf</v>
      </c>
    </row>
    <row r="492" spans="1:28" x14ac:dyDescent="0.25">
      <c r="A492" t="s">
        <v>496</v>
      </c>
      <c r="B492">
        <v>1</v>
      </c>
      <c r="C492">
        <v>0.93715571417487797</v>
      </c>
      <c r="D492">
        <v>1.7191403522383399</v>
      </c>
      <c r="E492">
        <v>2.0612149895259502</v>
      </c>
      <c r="F492">
        <v>1.99356040034138</v>
      </c>
      <c r="G492">
        <v>2.35441073783847</v>
      </c>
      <c r="H492">
        <v>1.2212739545348701</v>
      </c>
      <c r="I492">
        <v>2.3113507642175501</v>
      </c>
      <c r="J492">
        <v>2.08309411125766</v>
      </c>
      <c r="K492">
        <v>1.9300954302118101</v>
      </c>
      <c r="L492">
        <v>11072.8380991905</v>
      </c>
      <c r="M492">
        <v>250</v>
      </c>
      <c r="O492">
        <v>44.288518066308498</v>
      </c>
      <c r="P492">
        <v>0.70560049007718595</v>
      </c>
      <c r="Q492">
        <v>1.5</v>
      </c>
      <c r="R492">
        <v>-4.7969109434630598E-2</v>
      </c>
      <c r="S492" t="s">
        <v>2366</v>
      </c>
      <c r="T492" t="s">
        <v>3746</v>
      </c>
      <c r="U492" t="s">
        <v>3746</v>
      </c>
      <c r="V492" t="s">
        <v>3746</v>
      </c>
      <c r="W492" t="s">
        <v>4233</v>
      </c>
      <c r="X492">
        <v>2</v>
      </c>
      <c r="Y492" t="s">
        <v>6091</v>
      </c>
      <c r="Z492" t="s">
        <v>7880</v>
      </c>
      <c r="AA492">
        <v>1.4284385947368961</v>
      </c>
      <c r="AB492" t="str">
        <f>HYPERLINK("Melting_Curves/meltCurve_H3BPG7_CIAPIN1.pdf", "Melting_Curves/meltCurve_H3BPG7_CIAPIN1.pdf")</f>
        <v>Melting_Curves/meltCurve_H3BPG7_CIAPIN1.pdf</v>
      </c>
    </row>
    <row r="493" spans="1:28" x14ac:dyDescent="0.25">
      <c r="A493" t="s">
        <v>497</v>
      </c>
      <c r="B493">
        <v>1</v>
      </c>
      <c r="C493">
        <v>1.06438952451179</v>
      </c>
      <c r="D493">
        <v>1.8767631597726</v>
      </c>
      <c r="E493">
        <v>2.53419281177898</v>
      </c>
      <c r="F493">
        <v>1.69396541471421</v>
      </c>
      <c r="G493">
        <v>2.5972265169715301</v>
      </c>
      <c r="H493">
        <v>1.4466116410170999</v>
      </c>
      <c r="I493">
        <v>2.3440926714397801</v>
      </c>
      <c r="J493">
        <v>1.92462120311125</v>
      </c>
      <c r="K493">
        <v>2.0178635141885302</v>
      </c>
      <c r="L493">
        <v>10807.0154253644</v>
      </c>
      <c r="M493">
        <v>250</v>
      </c>
      <c r="O493">
        <v>43.225311119971103</v>
      </c>
      <c r="P493">
        <v>0.72295630807095101</v>
      </c>
      <c r="Q493">
        <v>1.5</v>
      </c>
      <c r="R493">
        <v>-0.27722624374307803</v>
      </c>
      <c r="S493" t="s">
        <v>2367</v>
      </c>
      <c r="T493" t="s">
        <v>3746</v>
      </c>
      <c r="U493" t="s">
        <v>3746</v>
      </c>
      <c r="V493" t="s">
        <v>3746</v>
      </c>
      <c r="W493" t="s">
        <v>4234</v>
      </c>
      <c r="X493">
        <v>2</v>
      </c>
      <c r="Y493" t="s">
        <v>6092</v>
      </c>
      <c r="Z493" t="s">
        <v>7881</v>
      </c>
      <c r="AA493">
        <v>1.446161039350383</v>
      </c>
      <c r="AB493" t="str">
        <f>HYPERLINK("Melting_Curves/meltCurve_H3BPK3_HAGH.pdf", "Melting_Curves/meltCurve_H3BPK3_HAGH.pdf")</f>
        <v>Melting_Curves/meltCurve_H3BPK3_HAGH.pdf</v>
      </c>
    </row>
    <row r="494" spans="1:28" x14ac:dyDescent="0.25">
      <c r="A494" t="s">
        <v>498</v>
      </c>
      <c r="B494">
        <v>1</v>
      </c>
      <c r="C494">
        <v>0.80641614075349</v>
      </c>
      <c r="D494">
        <v>1.3290304073436601</v>
      </c>
      <c r="E494">
        <v>1.7916427615222801</v>
      </c>
      <c r="F494">
        <v>1.21954484605087</v>
      </c>
      <c r="G494">
        <v>1.4956014534327799</v>
      </c>
      <c r="H494">
        <v>1.00076496462039</v>
      </c>
      <c r="I494">
        <v>1.82549244597437</v>
      </c>
      <c r="J494">
        <v>1.8457640084146101</v>
      </c>
      <c r="K494">
        <v>1.58385924650985</v>
      </c>
      <c r="L494">
        <v>11469.8854455736</v>
      </c>
      <c r="M494">
        <v>250</v>
      </c>
      <c r="O494">
        <v>45.876598877131102</v>
      </c>
      <c r="P494">
        <v>0.68117506697202601</v>
      </c>
      <c r="Q494">
        <v>1.5</v>
      </c>
      <c r="R494">
        <v>0.46824473232948999</v>
      </c>
      <c r="S494" t="s">
        <v>2368</v>
      </c>
      <c r="T494" t="s">
        <v>3746</v>
      </c>
      <c r="U494" t="s">
        <v>3746</v>
      </c>
      <c r="V494" t="s">
        <v>3746</v>
      </c>
      <c r="W494" t="s">
        <v>4033</v>
      </c>
      <c r="X494">
        <v>2</v>
      </c>
      <c r="Z494" t="s">
        <v>7882</v>
      </c>
      <c r="AA494">
        <v>1.4019673780208679</v>
      </c>
      <c r="AB494" t="str">
        <f>HYPERLINK("Melting_Curves/meltCurve_H3BQ06_.pdf", "Melting_Curves/meltCurve_H3BQ06_.pdf")</f>
        <v>Melting_Curves/meltCurve_H3BQ06_.pdf</v>
      </c>
    </row>
    <row r="495" spans="1:28" x14ac:dyDescent="0.25">
      <c r="A495" t="s">
        <v>499</v>
      </c>
      <c r="B495">
        <v>1</v>
      </c>
      <c r="C495">
        <v>0.900085251491901</v>
      </c>
      <c r="D495">
        <v>1.2655868144359199</v>
      </c>
      <c r="E495">
        <v>1.4125035521455001</v>
      </c>
      <c r="F495">
        <v>1.1262858766695101</v>
      </c>
      <c r="G495">
        <v>1.48888888888889</v>
      </c>
      <c r="H495">
        <v>0.52439897698209703</v>
      </c>
      <c r="I495">
        <v>1.0455242966751901</v>
      </c>
      <c r="J495">
        <v>0.90014208581983501</v>
      </c>
      <c r="K495">
        <v>0.86945154873543595</v>
      </c>
      <c r="L495">
        <v>2043.5380427385101</v>
      </c>
      <c r="M495">
        <v>34.213165703766201</v>
      </c>
      <c r="O495">
        <v>59.526630593881499</v>
      </c>
      <c r="P495">
        <v>-1.8783544144245601E-2</v>
      </c>
      <c r="Q495">
        <v>0.86927644111958902</v>
      </c>
      <c r="R495">
        <v>3.6723083337082997E-2</v>
      </c>
      <c r="S495" t="s">
        <v>2369</v>
      </c>
      <c r="T495" t="s">
        <v>3746</v>
      </c>
      <c r="U495" t="s">
        <v>3746</v>
      </c>
      <c r="V495" t="s">
        <v>3746</v>
      </c>
      <c r="W495" t="s">
        <v>4235</v>
      </c>
      <c r="X495">
        <v>1</v>
      </c>
      <c r="Y495" t="s">
        <v>6093</v>
      </c>
      <c r="Z495" t="s">
        <v>7883</v>
      </c>
      <c r="AA495">
        <v>0.95591343550742836</v>
      </c>
      <c r="AB495" t="str">
        <f>HYPERLINK("Melting_Curves/meltCurve_H3BQ52_ARPP19.pdf", "Melting_Curves/meltCurve_H3BQ52_ARPP19.pdf")</f>
        <v>Melting_Curves/meltCurve_H3BQ52_ARPP19.pdf</v>
      </c>
    </row>
    <row r="496" spans="1:28" x14ac:dyDescent="0.25">
      <c r="A496" t="s">
        <v>500</v>
      </c>
      <c r="B496">
        <v>1</v>
      </c>
      <c r="C496">
        <v>0.757620374054914</v>
      </c>
      <c r="D496">
        <v>1.14325507361719</v>
      </c>
      <c r="E496">
        <v>1.07262236370871</v>
      </c>
      <c r="F496">
        <v>0.68455033824114597</v>
      </c>
      <c r="G496">
        <v>0.79354357341822501</v>
      </c>
      <c r="H496">
        <v>0.44377238360525301</v>
      </c>
      <c r="I496">
        <v>0.86139076800636705</v>
      </c>
      <c r="J496">
        <v>0.84693593314763205</v>
      </c>
      <c r="K496">
        <v>0.66025666534023097</v>
      </c>
      <c r="L496">
        <v>7227.9176195567898</v>
      </c>
      <c r="M496">
        <v>140.075414178637</v>
      </c>
      <c r="O496">
        <v>51.589671669234001</v>
      </c>
      <c r="P496">
        <v>-0.19399621896118899</v>
      </c>
      <c r="Q496">
        <v>0.71420534699200999</v>
      </c>
      <c r="R496">
        <v>0.47046013676999199</v>
      </c>
      <c r="S496" t="s">
        <v>2370</v>
      </c>
      <c r="T496" t="s">
        <v>3746</v>
      </c>
      <c r="U496" t="s">
        <v>3746</v>
      </c>
      <c r="V496" t="s">
        <v>3746</v>
      </c>
      <c r="W496" t="s">
        <v>4236</v>
      </c>
      <c r="X496">
        <v>1</v>
      </c>
      <c r="Y496" t="s">
        <v>6094</v>
      </c>
      <c r="Z496" t="s">
        <v>7884</v>
      </c>
      <c r="AA496">
        <v>0.82479687724274031</v>
      </c>
      <c r="AB496" t="str">
        <f>HYPERLINK("Melting_Curves/meltCurve_H3BQ94_NPTN.pdf", "Melting_Curves/meltCurve_H3BQ94_NPTN.pdf")</f>
        <v>Melting_Curves/meltCurve_H3BQ94_NPTN.pdf</v>
      </c>
    </row>
    <row r="497" spans="1:28" x14ac:dyDescent="0.25">
      <c r="A497" t="s">
        <v>501</v>
      </c>
      <c r="B497">
        <v>1</v>
      </c>
      <c r="C497">
        <v>1.09730072672742</v>
      </c>
      <c r="D497">
        <v>1.5488233937017</v>
      </c>
      <c r="E497">
        <v>2.1958991809897301</v>
      </c>
      <c r="F497">
        <v>1.4219344791786801</v>
      </c>
      <c r="G497">
        <v>1.91181220440651</v>
      </c>
      <c r="H497">
        <v>1.6675798823393699</v>
      </c>
      <c r="I497">
        <v>3.0441804129657402</v>
      </c>
      <c r="J497">
        <v>3.3951436151805301</v>
      </c>
      <c r="K497">
        <v>3.42484715653478</v>
      </c>
      <c r="L497">
        <v>10785.9344292312</v>
      </c>
      <c r="M497">
        <v>250</v>
      </c>
      <c r="O497">
        <v>43.140990177108399</v>
      </c>
      <c r="P497">
        <v>0.72436931903110502</v>
      </c>
      <c r="Q497">
        <v>1.5</v>
      </c>
      <c r="R497">
        <v>-0.37807209771307898</v>
      </c>
      <c r="S497" t="s">
        <v>2371</v>
      </c>
      <c r="T497" t="s">
        <v>3746</v>
      </c>
      <c r="U497" t="s">
        <v>3746</v>
      </c>
      <c r="V497" t="s">
        <v>3746</v>
      </c>
      <c r="W497" t="s">
        <v>4237</v>
      </c>
      <c r="X497">
        <v>5</v>
      </c>
      <c r="Y497" t="s">
        <v>6095</v>
      </c>
      <c r="Z497" t="s">
        <v>7885</v>
      </c>
      <c r="AA497">
        <v>1.447566513083282</v>
      </c>
      <c r="AB497" t="str">
        <f>HYPERLINK("Melting_Curves/meltCurve_H3BQB1_APRT.pdf", "Melting_Curves/meltCurve_H3BQB1_APRT.pdf")</f>
        <v>Melting_Curves/meltCurve_H3BQB1_APRT.pdf</v>
      </c>
    </row>
    <row r="498" spans="1:28" x14ac:dyDescent="0.25">
      <c r="A498" t="s">
        <v>502</v>
      </c>
      <c r="B498">
        <v>1</v>
      </c>
      <c r="C498">
        <v>0.93872125481855595</v>
      </c>
      <c r="D498">
        <v>1.69383414671199</v>
      </c>
      <c r="E498">
        <v>1.4942747004424499</v>
      </c>
      <c r="F498">
        <v>1.4472759727312401</v>
      </c>
      <c r="G498">
        <v>1.69953096219213</v>
      </c>
      <c r="H498">
        <v>1.3034503712424801</v>
      </c>
      <c r="I498">
        <v>1.7157289075406801</v>
      </c>
      <c r="J498">
        <v>1.71795066557794</v>
      </c>
      <c r="K498">
        <v>1.6718064601887499</v>
      </c>
      <c r="L498">
        <v>11074.9694493395</v>
      </c>
      <c r="M498">
        <v>250</v>
      </c>
      <c r="O498">
        <v>44.297042911815602</v>
      </c>
      <c r="P498">
        <v>0.70546469902904096</v>
      </c>
      <c r="Q498">
        <v>1.5</v>
      </c>
      <c r="R498">
        <v>0.691251715265917</v>
      </c>
      <c r="S498" t="s">
        <v>2372</v>
      </c>
      <c r="T498" t="s">
        <v>3746</v>
      </c>
      <c r="U498" t="s">
        <v>3746</v>
      </c>
      <c r="V498" t="s">
        <v>3746</v>
      </c>
      <c r="W498" t="s">
        <v>4238</v>
      </c>
      <c r="X498">
        <v>2</v>
      </c>
      <c r="Y498" t="s">
        <v>6096</v>
      </c>
      <c r="Z498" t="s">
        <v>7886</v>
      </c>
      <c r="AA498">
        <v>1.4282964972459899</v>
      </c>
      <c r="AB498" t="str">
        <f>HYPERLINK("Melting_Curves/meltCurve_H3BRV0_EIF3C.pdf", "Melting_Curves/meltCurve_H3BRV0_EIF3C.pdf")</f>
        <v>Melting_Curves/meltCurve_H3BRV0_EIF3C.pdf</v>
      </c>
    </row>
    <row r="499" spans="1:28" x14ac:dyDescent="0.25">
      <c r="A499" t="s">
        <v>503</v>
      </c>
      <c r="B499">
        <v>1</v>
      </c>
      <c r="C499">
        <v>1.0654727676004301</v>
      </c>
      <c r="D499">
        <v>1.52008543497905</v>
      </c>
      <c r="E499">
        <v>2.7873983405898302</v>
      </c>
      <c r="F499">
        <v>2.8006243325392299</v>
      </c>
      <c r="G499">
        <v>2.9879240943070702</v>
      </c>
      <c r="H499">
        <v>2.0399244229031499</v>
      </c>
      <c r="I499">
        <v>2.8827733508584599</v>
      </c>
      <c r="J499">
        <v>2.9826665571346398</v>
      </c>
      <c r="K499">
        <v>2.7208576357512499</v>
      </c>
      <c r="L499">
        <v>10806.1935485168</v>
      </c>
      <c r="M499">
        <v>250</v>
      </c>
      <c r="O499">
        <v>43.2219898139356</v>
      </c>
      <c r="P499">
        <v>0.72301129277332898</v>
      </c>
      <c r="Q499">
        <v>1.5</v>
      </c>
      <c r="R499">
        <v>-0.96507456779804102</v>
      </c>
      <c r="S499" t="s">
        <v>2373</v>
      </c>
      <c r="T499" t="s">
        <v>3746</v>
      </c>
      <c r="U499" t="s">
        <v>3746</v>
      </c>
      <c r="V499" t="s">
        <v>3746</v>
      </c>
      <c r="W499" t="s">
        <v>4239</v>
      </c>
      <c r="X499">
        <v>10</v>
      </c>
      <c r="Y499" t="s">
        <v>6097</v>
      </c>
      <c r="Z499" t="s">
        <v>7887</v>
      </c>
      <c r="AA499">
        <v>1.446215834024897</v>
      </c>
      <c r="AB499" t="str">
        <f>HYPERLINK("Melting_Curves/meltCurve_H3BS10_HEXA.pdf", "Melting_Curves/meltCurve_H3BS10_HEXA.pdf")</f>
        <v>Melting_Curves/meltCurve_H3BS10_HEXA.pdf</v>
      </c>
    </row>
    <row r="500" spans="1:28" x14ac:dyDescent="0.25">
      <c r="A500" t="s">
        <v>504</v>
      </c>
      <c r="B500">
        <v>1</v>
      </c>
      <c r="C500">
        <v>1.04207303243366</v>
      </c>
      <c r="D500">
        <v>1.5824166477659301</v>
      </c>
      <c r="E500">
        <v>1.88067022000454</v>
      </c>
      <c r="F500">
        <v>1.6671864368337499</v>
      </c>
      <c r="G500">
        <v>2.20429802676344</v>
      </c>
      <c r="H500">
        <v>0.86143399863914705</v>
      </c>
      <c r="I500">
        <v>2.0324903606259901</v>
      </c>
      <c r="J500">
        <v>2.3069290088455401</v>
      </c>
      <c r="K500">
        <v>1.9102971195282401</v>
      </c>
      <c r="L500">
        <v>10827.414797052499</v>
      </c>
      <c r="M500">
        <v>250</v>
      </c>
      <c r="O500">
        <v>43.306904838629499</v>
      </c>
      <c r="P500">
        <v>0.72159422323622702</v>
      </c>
      <c r="Q500">
        <v>1.5</v>
      </c>
      <c r="R500">
        <v>9.8293213001645702E-2</v>
      </c>
      <c r="S500" t="s">
        <v>2374</v>
      </c>
      <c r="T500" t="s">
        <v>3746</v>
      </c>
      <c r="U500" t="s">
        <v>3746</v>
      </c>
      <c r="V500" t="s">
        <v>3746</v>
      </c>
      <c r="W500" t="s">
        <v>4240</v>
      </c>
      <c r="X500">
        <v>2</v>
      </c>
      <c r="Y500" t="s">
        <v>6098</v>
      </c>
      <c r="Z500" t="s">
        <v>7888</v>
      </c>
      <c r="AA500">
        <v>1.444801009638383</v>
      </c>
      <c r="AB500" t="str">
        <f>HYPERLINK("Melting_Curves/meltCurve_H3BSW0_LRRC57.pdf", "Melting_Curves/meltCurve_H3BSW0_LRRC57.pdf")</f>
        <v>Melting_Curves/meltCurve_H3BSW0_LRRC57.pdf</v>
      </c>
    </row>
    <row r="501" spans="1:28" x14ac:dyDescent="0.25">
      <c r="A501" t="s">
        <v>505</v>
      </c>
      <c r="B501">
        <v>1</v>
      </c>
      <c r="C501">
        <v>0.99091796142010102</v>
      </c>
      <c r="D501">
        <v>1.43518727013435</v>
      </c>
      <c r="E501">
        <v>1.9013735645125001</v>
      </c>
      <c r="F501">
        <v>1.8136305636868599</v>
      </c>
      <c r="G501">
        <v>2.2830443593785201</v>
      </c>
      <c r="H501">
        <v>1.7578623433160701</v>
      </c>
      <c r="I501">
        <v>2.4339863394130501</v>
      </c>
      <c r="J501">
        <v>2.7532087367710001</v>
      </c>
      <c r="K501">
        <v>2.5196277114763901</v>
      </c>
      <c r="L501">
        <v>11412.4033838016</v>
      </c>
      <c r="M501">
        <v>250</v>
      </c>
      <c r="O501">
        <v>45.646689518485601</v>
      </c>
      <c r="P501">
        <v>0.68460601383750397</v>
      </c>
      <c r="Q501">
        <v>1.5</v>
      </c>
      <c r="R501">
        <v>-0.29188372762973502</v>
      </c>
      <c r="S501" t="s">
        <v>2375</v>
      </c>
      <c r="T501" t="s">
        <v>3746</v>
      </c>
      <c r="U501" t="s">
        <v>3746</v>
      </c>
      <c r="V501" t="s">
        <v>3746</v>
      </c>
      <c r="W501" t="s">
        <v>4241</v>
      </c>
      <c r="X501">
        <v>15</v>
      </c>
      <c r="Y501" t="s">
        <v>6099</v>
      </c>
      <c r="Z501" t="s">
        <v>7889</v>
      </c>
      <c r="AA501">
        <v>1.405799717232582</v>
      </c>
      <c r="AB501" t="str">
        <f>HYPERLINK("Melting_Curves/meltCurve_H3BTH8_HAPLN3.pdf", "Melting_Curves/meltCurve_H3BTH8_HAPLN3.pdf")</f>
        <v>Melting_Curves/meltCurve_H3BTH8_HAPLN3.pdf</v>
      </c>
    </row>
    <row r="502" spans="1:28" x14ac:dyDescent="0.25">
      <c r="A502" t="s">
        <v>506</v>
      </c>
      <c r="B502">
        <v>1</v>
      </c>
      <c r="C502">
        <v>1.06880217893303</v>
      </c>
      <c r="D502">
        <v>1.6250419405135501</v>
      </c>
      <c r="E502">
        <v>2.13057808830205</v>
      </c>
      <c r="F502">
        <v>1.6697258570667299</v>
      </c>
      <c r="G502">
        <v>2.0761047624686699</v>
      </c>
      <c r="H502">
        <v>1.38956322655772</v>
      </c>
      <c r="I502">
        <v>2.54169380464602</v>
      </c>
      <c r="J502">
        <v>2.1970908086130998</v>
      </c>
      <c r="K502">
        <v>2.3395898711192702</v>
      </c>
      <c r="L502">
        <v>10803.7355338581</v>
      </c>
      <c r="M502">
        <v>250</v>
      </c>
      <c r="O502">
        <v>43.212176677845001</v>
      </c>
      <c r="P502">
        <v>0.72317579089647399</v>
      </c>
      <c r="Q502">
        <v>1.5</v>
      </c>
      <c r="R502">
        <v>-0.18917557319445999</v>
      </c>
      <c r="S502" t="s">
        <v>2376</v>
      </c>
      <c r="T502" t="s">
        <v>3746</v>
      </c>
      <c r="U502" t="s">
        <v>3746</v>
      </c>
      <c r="V502" t="s">
        <v>3746</v>
      </c>
      <c r="W502" t="s">
        <v>4242</v>
      </c>
      <c r="X502">
        <v>2</v>
      </c>
      <c r="Y502" t="s">
        <v>6100</v>
      </c>
      <c r="Z502" t="s">
        <v>7890</v>
      </c>
      <c r="AA502">
        <v>1.4463797102960889</v>
      </c>
      <c r="AB502" t="str">
        <f>HYPERLINK("Melting_Curves/meltCurve_H3BTZ5_CNN2.pdf", "Melting_Curves/meltCurve_H3BTZ5_CNN2.pdf")</f>
        <v>Melting_Curves/meltCurve_H3BTZ5_CNN2.pdf</v>
      </c>
    </row>
    <row r="503" spans="1:28" x14ac:dyDescent="0.25">
      <c r="A503" t="s">
        <v>507</v>
      </c>
      <c r="B503">
        <v>1</v>
      </c>
      <c r="C503">
        <v>1.0953646574909</v>
      </c>
      <c r="D503">
        <v>1.3712070874861599</v>
      </c>
      <c r="E503">
        <v>1.96111374782471</v>
      </c>
      <c r="F503">
        <v>1.2782787533618101</v>
      </c>
      <c r="G503">
        <v>1.3700680272108801</v>
      </c>
      <c r="H503">
        <v>1.0525866160417701</v>
      </c>
      <c r="I503">
        <v>1.5515266571744999</v>
      </c>
      <c r="J503">
        <v>1.65049833887043</v>
      </c>
      <c r="K503">
        <v>1.5875336180984001</v>
      </c>
      <c r="L503">
        <v>2095.5187675201701</v>
      </c>
      <c r="M503">
        <v>47.145219466222798</v>
      </c>
      <c r="O503">
        <v>44.368419871024201</v>
      </c>
      <c r="P503">
        <v>0.13000600046377001</v>
      </c>
      <c r="Q503">
        <v>1.4893946503950599</v>
      </c>
      <c r="R503">
        <v>0.375140614425166</v>
      </c>
      <c r="S503" t="s">
        <v>2377</v>
      </c>
      <c r="T503" t="s">
        <v>3746</v>
      </c>
      <c r="U503" t="s">
        <v>3746</v>
      </c>
      <c r="V503" t="s">
        <v>3746</v>
      </c>
      <c r="W503" t="s">
        <v>4243</v>
      </c>
      <c r="X503">
        <v>3</v>
      </c>
      <c r="Y503" t="s">
        <v>6101</v>
      </c>
      <c r="Z503" t="s">
        <v>7891</v>
      </c>
      <c r="AA503">
        <v>1.4156876611841649</v>
      </c>
      <c r="AB503" t="str">
        <f>HYPERLINK("Melting_Curves/meltCurve_H3BUA3_CES3.pdf", "Melting_Curves/meltCurve_H3BUA3_CES3.pdf")</f>
        <v>Melting_Curves/meltCurve_H3BUA3_CES3.pdf</v>
      </c>
    </row>
    <row r="504" spans="1:28" x14ac:dyDescent="0.25">
      <c r="A504" t="s">
        <v>508</v>
      </c>
      <c r="B504">
        <v>1</v>
      </c>
      <c r="C504">
        <v>1.27695460277428</v>
      </c>
      <c r="D504">
        <v>1.61932534678436</v>
      </c>
      <c r="E504">
        <v>1.9328499369483001</v>
      </c>
      <c r="F504">
        <v>1.25882723833544</v>
      </c>
      <c r="G504">
        <v>1.2326607818411099</v>
      </c>
      <c r="H504">
        <v>0.85403530895334201</v>
      </c>
      <c r="I504">
        <v>1.3714533417402299</v>
      </c>
      <c r="J504">
        <v>1.0734552332913001</v>
      </c>
      <c r="K504">
        <v>1.37366015132409</v>
      </c>
      <c r="L504">
        <v>1.0000000000000001E-5</v>
      </c>
      <c r="M504">
        <v>0.39982008775415601</v>
      </c>
      <c r="Q504">
        <v>1.5</v>
      </c>
      <c r="R504">
        <v>-3.37295058550069E-9</v>
      </c>
      <c r="S504" t="s">
        <v>2378</v>
      </c>
      <c r="T504" t="s">
        <v>3746</v>
      </c>
      <c r="U504" t="s">
        <v>3746</v>
      </c>
      <c r="V504" t="s">
        <v>3746</v>
      </c>
      <c r="W504" t="s">
        <v>4244</v>
      </c>
      <c r="X504">
        <v>1</v>
      </c>
      <c r="Y504" t="s">
        <v>6102</v>
      </c>
      <c r="Z504" t="s">
        <v>7892</v>
      </c>
      <c r="AA504">
        <v>1.299322194337613</v>
      </c>
      <c r="AB504" t="str">
        <f>HYPERLINK("Melting_Curves/meltCurve_H3BV04_SCAMP2.pdf", "Melting_Curves/meltCurve_H3BV04_SCAMP2.pdf")</f>
        <v>Melting_Curves/meltCurve_H3BV04_SCAMP2.pdf</v>
      </c>
    </row>
    <row r="505" spans="1:28" x14ac:dyDescent="0.25">
      <c r="A505" t="s">
        <v>509</v>
      </c>
      <c r="B505">
        <v>1</v>
      </c>
      <c r="C505">
        <v>0.97813583520293701</v>
      </c>
      <c r="D505">
        <v>1.48309198449929</v>
      </c>
      <c r="E505">
        <v>2.05339588007342</v>
      </c>
      <c r="F505">
        <v>1.58931266571487</v>
      </c>
      <c r="G505">
        <v>1.76157454619621</v>
      </c>
      <c r="H505">
        <v>1.30124413624312</v>
      </c>
      <c r="I505">
        <v>2.0409953089944901</v>
      </c>
      <c r="J505">
        <v>2.3014073016520502</v>
      </c>
      <c r="K505">
        <v>2.0522537222108901</v>
      </c>
      <c r="L505">
        <v>11345.789762243299</v>
      </c>
      <c r="M505">
        <v>250</v>
      </c>
      <c r="O505">
        <v>45.380269874792802</v>
      </c>
      <c r="P505">
        <v>0.688625484840793</v>
      </c>
      <c r="Q505">
        <v>1.5</v>
      </c>
      <c r="R505">
        <v>0.14341330908306901</v>
      </c>
      <c r="S505" t="s">
        <v>2379</v>
      </c>
      <c r="T505" t="s">
        <v>3746</v>
      </c>
      <c r="U505" t="s">
        <v>3746</v>
      </c>
      <c r="V505" t="s">
        <v>3746</v>
      </c>
      <c r="W505" t="s">
        <v>4245</v>
      </c>
      <c r="X505">
        <v>5</v>
      </c>
      <c r="Y505" t="s">
        <v>6103</v>
      </c>
      <c r="Z505" t="s">
        <v>7893</v>
      </c>
      <c r="AA505">
        <v>1.410240859148207</v>
      </c>
      <c r="AB505" t="str">
        <f>HYPERLINK("Melting_Curves/meltCurve_H3BV55_PMM2.pdf", "Melting_Curves/meltCurve_H3BV55_PMM2.pdf")</f>
        <v>Melting_Curves/meltCurve_H3BV55_PMM2.pdf</v>
      </c>
    </row>
    <row r="506" spans="1:28" x14ac:dyDescent="0.25">
      <c r="A506" t="s">
        <v>510</v>
      </c>
      <c r="B506">
        <v>1</v>
      </c>
      <c r="C506">
        <v>0.863162682987346</v>
      </c>
      <c r="D506">
        <v>1.5284095608303701</v>
      </c>
      <c r="E506">
        <v>1.47101149615416</v>
      </c>
      <c r="F506">
        <v>0.846952278554297</v>
      </c>
      <c r="G506">
        <v>0.91291042924489296</v>
      </c>
      <c r="H506">
        <v>0.49251509387147502</v>
      </c>
      <c r="I506">
        <v>0.88479033992225598</v>
      </c>
      <c r="J506">
        <v>1.05417252501861</v>
      </c>
      <c r="K506">
        <v>0.81564800264659698</v>
      </c>
      <c r="L506">
        <v>13126.8013218744</v>
      </c>
      <c r="M506">
        <v>250</v>
      </c>
      <c r="O506">
        <v>52.503829623921597</v>
      </c>
      <c r="P506">
        <v>-0.199981081919891</v>
      </c>
      <c r="Q506">
        <v>0.832003587758677</v>
      </c>
      <c r="R506">
        <v>0.190036311936191</v>
      </c>
      <c r="S506" t="s">
        <v>2380</v>
      </c>
      <c r="T506" t="s">
        <v>3746</v>
      </c>
      <c r="U506" t="s">
        <v>3746</v>
      </c>
      <c r="V506" t="s">
        <v>3746</v>
      </c>
      <c r="W506" t="s">
        <v>4246</v>
      </c>
      <c r="X506">
        <v>1</v>
      </c>
      <c r="Y506" t="s">
        <v>6104</v>
      </c>
      <c r="Z506" t="s">
        <v>7894</v>
      </c>
      <c r="AA506">
        <v>0.90205792236402937</v>
      </c>
      <c r="AB506" t="str">
        <f>HYPERLINK("Melting_Curves/meltCurve_H3BVC7_RPS15A.pdf", "Melting_Curves/meltCurve_H3BVC7_RPS15A.pdf")</f>
        <v>Melting_Curves/meltCurve_H3BVC7_RPS15A.pdf</v>
      </c>
    </row>
    <row r="507" spans="1:28" x14ac:dyDescent="0.25">
      <c r="A507" t="s">
        <v>511</v>
      </c>
      <c r="B507">
        <v>1</v>
      </c>
      <c r="C507">
        <v>1.0154696132596699</v>
      </c>
      <c r="D507">
        <v>1.48237944536823</v>
      </c>
      <c r="E507">
        <v>2.36453360510647</v>
      </c>
      <c r="F507">
        <v>1.7658102236764499</v>
      </c>
      <c r="G507">
        <v>1.9474333530011301</v>
      </c>
      <c r="H507">
        <v>1.6149761304511101</v>
      </c>
      <c r="I507">
        <v>2.51139838008904</v>
      </c>
      <c r="J507">
        <v>2.6374510540149099</v>
      </c>
      <c r="K507">
        <v>2.5374671458456302</v>
      </c>
      <c r="L507">
        <v>4362.6607928896401</v>
      </c>
      <c r="M507">
        <v>98.210039151063</v>
      </c>
      <c r="O507">
        <v>44.4033303716201</v>
      </c>
      <c r="P507">
        <v>0.27647150716778701</v>
      </c>
      <c r="Q507">
        <v>1.5</v>
      </c>
      <c r="R507">
        <v>-0.29882947184941999</v>
      </c>
      <c r="S507" t="s">
        <v>2381</v>
      </c>
      <c r="T507" t="s">
        <v>3746</v>
      </c>
      <c r="U507" t="s">
        <v>3746</v>
      </c>
      <c r="V507" t="s">
        <v>3746</v>
      </c>
      <c r="W507" t="s">
        <v>4247</v>
      </c>
      <c r="X507">
        <v>4</v>
      </c>
      <c r="Y507" t="s">
        <v>6105</v>
      </c>
      <c r="Z507" t="s">
        <v>7895</v>
      </c>
      <c r="AA507">
        <v>1.426051331155421</v>
      </c>
      <c r="AB507" t="str">
        <f>HYPERLINK("Melting_Curves/meltCurve_H7BXG7_SEC31A.pdf", "Melting_Curves/meltCurve_H7BXG7_SEC31A.pdf")</f>
        <v>Melting_Curves/meltCurve_H7BXG7_SEC31A.pdf</v>
      </c>
    </row>
    <row r="508" spans="1:28" x14ac:dyDescent="0.25">
      <c r="A508" t="s">
        <v>512</v>
      </c>
      <c r="B508">
        <v>1</v>
      </c>
      <c r="C508">
        <v>0.91080159547092099</v>
      </c>
      <c r="D508">
        <v>1.3525154400411701</v>
      </c>
      <c r="E508">
        <v>1.4261451363870301</v>
      </c>
      <c r="F508">
        <v>0.92746397323726204</v>
      </c>
      <c r="G508">
        <v>1.43798250128667</v>
      </c>
      <c r="H508">
        <v>0.68595599588265599</v>
      </c>
      <c r="I508">
        <v>1.02499356664951</v>
      </c>
      <c r="J508">
        <v>0.76807771487390597</v>
      </c>
      <c r="K508">
        <v>0.84521358723623297</v>
      </c>
      <c r="L508">
        <v>14767.3472415345</v>
      </c>
      <c r="M508">
        <v>250</v>
      </c>
      <c r="O508">
        <v>59.065630416805703</v>
      </c>
      <c r="P508">
        <v>-0.17875190064756899</v>
      </c>
      <c r="Q508">
        <v>0.83107056213937403</v>
      </c>
      <c r="R508">
        <v>0.148103063002649</v>
      </c>
      <c r="S508" t="s">
        <v>2382</v>
      </c>
      <c r="T508" t="s">
        <v>3746</v>
      </c>
      <c r="U508" t="s">
        <v>3746</v>
      </c>
      <c r="V508" t="s">
        <v>3746</v>
      </c>
      <c r="W508" t="s">
        <v>4248</v>
      </c>
      <c r="X508">
        <v>1</v>
      </c>
      <c r="Y508" t="s">
        <v>6106</v>
      </c>
      <c r="Z508" t="s">
        <v>7896</v>
      </c>
      <c r="AA508">
        <v>0.93846744630105405</v>
      </c>
      <c r="AB508" t="str">
        <f>HYPERLINK("Melting_Curves/meltCurve_H7BXR3_SORBS2.pdf", "Melting_Curves/meltCurve_H7BXR3_SORBS2.pdf")</f>
        <v>Melting_Curves/meltCurve_H7BXR3_SORBS2.pdf</v>
      </c>
    </row>
    <row r="509" spans="1:28" x14ac:dyDescent="0.25">
      <c r="A509" t="s">
        <v>513</v>
      </c>
      <c r="B509">
        <v>1</v>
      </c>
      <c r="C509">
        <v>0.98311855379268298</v>
      </c>
      <c r="D509">
        <v>1.37261053059198</v>
      </c>
      <c r="E509">
        <v>1.7092012909341201</v>
      </c>
      <c r="F509">
        <v>1.25378591256855</v>
      </c>
      <c r="G509">
        <v>1.3706244780970001</v>
      </c>
      <c r="H509">
        <v>0.95116116364621195</v>
      </c>
      <c r="I509">
        <v>1.2967117289941099</v>
      </c>
      <c r="J509">
        <v>1.2516644474034599</v>
      </c>
      <c r="K509">
        <v>1.0979936356044999</v>
      </c>
      <c r="L509">
        <v>11064.8646817108</v>
      </c>
      <c r="M509">
        <v>250</v>
      </c>
      <c r="O509">
        <v>44.256628080666303</v>
      </c>
      <c r="P509">
        <v>0.40669437034934303</v>
      </c>
      <c r="Q509">
        <v>1.28798273268724</v>
      </c>
      <c r="R509">
        <v>0.289987530221818</v>
      </c>
      <c r="S509" t="s">
        <v>2383</v>
      </c>
      <c r="T509" t="s">
        <v>3746</v>
      </c>
      <c r="U509" t="s">
        <v>3746</v>
      </c>
      <c r="V509" t="s">
        <v>3746</v>
      </c>
      <c r="W509" t="s">
        <v>4249</v>
      </c>
      <c r="X509">
        <v>3</v>
      </c>
      <c r="Y509" t="s">
        <v>6107</v>
      </c>
      <c r="Z509" t="s">
        <v>7897</v>
      </c>
      <c r="AA509">
        <v>1.247072011595205</v>
      </c>
      <c r="AB509" t="str">
        <f>HYPERLINK("Melting_Curves/meltCurve_H7BY10_RPL23A.pdf", "Melting_Curves/meltCurve_H7BY10_RPL23A.pdf")</f>
        <v>Melting_Curves/meltCurve_H7BY10_RPL23A.pdf</v>
      </c>
    </row>
    <row r="510" spans="1:28" x14ac:dyDescent="0.25">
      <c r="A510" t="s">
        <v>514</v>
      </c>
      <c r="B510">
        <v>1</v>
      </c>
      <c r="C510">
        <v>1.0844676409185801</v>
      </c>
      <c r="D510">
        <v>1.5154488517745299</v>
      </c>
      <c r="E510">
        <v>2.2106054279749499</v>
      </c>
      <c r="F510">
        <v>1.89198329853862</v>
      </c>
      <c r="G510">
        <v>2.4387056367432201</v>
      </c>
      <c r="H510">
        <v>2.0699373695198302</v>
      </c>
      <c r="I510">
        <v>2.76793319415449</v>
      </c>
      <c r="J510">
        <v>2.9204175365344498</v>
      </c>
      <c r="K510">
        <v>2.9744050104384101</v>
      </c>
      <c r="S510" t="s">
        <v>2384</v>
      </c>
      <c r="T510" t="s">
        <v>3746</v>
      </c>
      <c r="U510" t="s">
        <v>3747</v>
      </c>
      <c r="V510" t="s">
        <v>3746</v>
      </c>
      <c r="W510" t="s">
        <v>4250</v>
      </c>
      <c r="X510">
        <v>6</v>
      </c>
      <c r="Y510" t="s">
        <v>6108</v>
      </c>
      <c r="Z510" t="s">
        <v>7898</v>
      </c>
      <c r="AB510" t="str">
        <f>HYPERLINK("Melting_Curves/meltCurve_H7BY58_PCMT1.pdf", "Melting_Curves/meltCurve_H7BY58_PCMT1.pdf")</f>
        <v>Melting_Curves/meltCurve_H7BY58_PCMT1.pdf</v>
      </c>
    </row>
    <row r="511" spans="1:28" x14ac:dyDescent="0.25">
      <c r="A511" t="s">
        <v>515</v>
      </c>
      <c r="B511">
        <v>1</v>
      </c>
      <c r="C511">
        <v>1.00891657505802</v>
      </c>
      <c r="D511">
        <v>1.5532551606205001</v>
      </c>
      <c r="E511">
        <v>2.18181262977892</v>
      </c>
      <c r="F511">
        <v>1.9968853059728799</v>
      </c>
      <c r="G511">
        <v>2.2895443996579901</v>
      </c>
      <c r="H511">
        <v>1.46128007817271</v>
      </c>
      <c r="I511">
        <v>2.56498106754611</v>
      </c>
      <c r="J511">
        <v>2.5241846830340799</v>
      </c>
      <c r="K511">
        <v>2.2232197386099899</v>
      </c>
      <c r="L511">
        <v>10896.945234454101</v>
      </c>
      <c r="M511">
        <v>250</v>
      </c>
      <c r="O511">
        <v>43.584990365668702</v>
      </c>
      <c r="P511">
        <v>0.71698992893257796</v>
      </c>
      <c r="Q511">
        <v>1.5</v>
      </c>
      <c r="R511">
        <v>-0.30939296158047702</v>
      </c>
      <c r="S511" t="s">
        <v>2385</v>
      </c>
      <c r="T511" t="s">
        <v>3746</v>
      </c>
      <c r="U511" t="s">
        <v>3746</v>
      </c>
      <c r="V511" t="s">
        <v>3746</v>
      </c>
      <c r="W511" t="s">
        <v>4251</v>
      </c>
      <c r="X511">
        <v>5</v>
      </c>
      <c r="Y511" t="s">
        <v>6026</v>
      </c>
      <c r="Z511" t="s">
        <v>7899</v>
      </c>
      <c r="AA511">
        <v>1.440165403097365</v>
      </c>
      <c r="AB511" t="str">
        <f>HYPERLINK("Melting_Curves/meltCurve_H7BZJ3_PDIA3.pdf", "Melting_Curves/meltCurve_H7BZJ3_PDIA3.pdf")</f>
        <v>Melting_Curves/meltCurve_H7BZJ3_PDIA3.pdf</v>
      </c>
    </row>
    <row r="512" spans="1:28" x14ac:dyDescent="0.25">
      <c r="A512" t="s">
        <v>516</v>
      </c>
      <c r="B512">
        <v>1</v>
      </c>
      <c r="C512">
        <v>1.0853094068219</v>
      </c>
      <c r="D512">
        <v>1.31574449903867</v>
      </c>
      <c r="E512">
        <v>1.6272876166061401</v>
      </c>
      <c r="F512">
        <v>1.1620024211350899</v>
      </c>
      <c r="G512">
        <v>1.2448194830164501</v>
      </c>
      <c r="H512">
        <v>0.88869899594103796</v>
      </c>
      <c r="I512">
        <v>1.10560421562344</v>
      </c>
      <c r="J512">
        <v>1.2552161219112701</v>
      </c>
      <c r="K512">
        <v>0.96532080039877499</v>
      </c>
      <c r="L512">
        <v>10736.0130027427</v>
      </c>
      <c r="M512">
        <v>250</v>
      </c>
      <c r="O512">
        <v>42.941303864155003</v>
      </c>
      <c r="P512">
        <v>0.284671677991787</v>
      </c>
      <c r="Q512">
        <v>1.1955867682455299</v>
      </c>
      <c r="R512">
        <v>0.10156568703496401</v>
      </c>
      <c r="S512" t="s">
        <v>2386</v>
      </c>
      <c r="T512" t="s">
        <v>3746</v>
      </c>
      <c r="U512" t="s">
        <v>3746</v>
      </c>
      <c r="V512" t="s">
        <v>3746</v>
      </c>
      <c r="W512" t="s">
        <v>4033</v>
      </c>
      <c r="X512">
        <v>1</v>
      </c>
      <c r="Z512" t="s">
        <v>7900</v>
      </c>
      <c r="AA512">
        <v>1.17637810700294</v>
      </c>
      <c r="AB512" t="str">
        <f>HYPERLINK("Melting_Curves/meltCurve_H7BZT4_.pdf", "Melting_Curves/meltCurve_H7BZT4_.pdf")</f>
        <v>Melting_Curves/meltCurve_H7BZT4_.pdf</v>
      </c>
    </row>
    <row r="513" spans="1:28" x14ac:dyDescent="0.25">
      <c r="A513" t="s">
        <v>517</v>
      </c>
      <c r="B513">
        <v>1</v>
      </c>
      <c r="C513">
        <v>1.0529833713726799</v>
      </c>
      <c r="D513">
        <v>1.2200847733942</v>
      </c>
      <c r="E513">
        <v>1.67677426366699</v>
      </c>
      <c r="F513">
        <v>1.1237908922943201</v>
      </c>
      <c r="G513">
        <v>1.0482012824693001</v>
      </c>
      <c r="H513">
        <v>1.4544614715791799</v>
      </c>
      <c r="I513">
        <v>1.6710683621345499</v>
      </c>
      <c r="J513">
        <v>1.929138137159</v>
      </c>
      <c r="K513">
        <v>2.0203782197587201</v>
      </c>
      <c r="L513">
        <v>663.44010418531502</v>
      </c>
      <c r="M513">
        <v>14.1621484315749</v>
      </c>
      <c r="O513">
        <v>45.9416530714483</v>
      </c>
      <c r="P513">
        <v>3.8537856211424297E-2</v>
      </c>
      <c r="Q513">
        <v>1.5</v>
      </c>
      <c r="R513">
        <v>0.34655895482682603</v>
      </c>
      <c r="S513" t="s">
        <v>2387</v>
      </c>
      <c r="T513" t="s">
        <v>3746</v>
      </c>
      <c r="U513" t="s">
        <v>3746</v>
      </c>
      <c r="V513" t="s">
        <v>3746</v>
      </c>
      <c r="W513" t="s">
        <v>4252</v>
      </c>
      <c r="X513">
        <v>2</v>
      </c>
      <c r="Y513" t="s">
        <v>6109</v>
      </c>
      <c r="Z513" t="s">
        <v>7901</v>
      </c>
      <c r="AA513">
        <v>1.3704727600397371</v>
      </c>
      <c r="AB513" t="str">
        <f>HYPERLINK("Melting_Curves/meltCurve_H7BZT7_ESD.pdf", "Melting_Curves/meltCurve_H7BZT7_ESD.pdf")</f>
        <v>Melting_Curves/meltCurve_H7BZT7_ESD.pdf</v>
      </c>
    </row>
    <row r="514" spans="1:28" x14ac:dyDescent="0.25">
      <c r="A514" t="s">
        <v>518</v>
      </c>
      <c r="B514">
        <v>1</v>
      </c>
      <c r="C514">
        <v>0.59670566256962898</v>
      </c>
      <c r="D514">
        <v>1.57699887227038</v>
      </c>
      <c r="E514">
        <v>1.55672252155786</v>
      </c>
      <c r="F514">
        <v>1.1013703623543301</v>
      </c>
      <c r="G514">
        <v>1.4843883490721901</v>
      </c>
      <c r="H514">
        <v>0.85259776504493801</v>
      </c>
      <c r="I514">
        <v>2.01521865424266</v>
      </c>
      <c r="J514">
        <v>2.0354950049551799</v>
      </c>
      <c r="K514">
        <v>1.6131090024718899</v>
      </c>
      <c r="L514">
        <v>11137.1006229906</v>
      </c>
      <c r="M514">
        <v>250</v>
      </c>
      <c r="O514">
        <v>44.545551809546197</v>
      </c>
      <c r="P514">
        <v>0.70152908318030605</v>
      </c>
      <c r="Q514">
        <v>1.5</v>
      </c>
      <c r="R514">
        <v>0.368360508885333</v>
      </c>
      <c r="S514" t="s">
        <v>2388</v>
      </c>
      <c r="T514" t="s">
        <v>3746</v>
      </c>
      <c r="U514" t="s">
        <v>3746</v>
      </c>
      <c r="V514" t="s">
        <v>3746</v>
      </c>
      <c r="W514" t="s">
        <v>4253</v>
      </c>
      <c r="X514">
        <v>1</v>
      </c>
      <c r="Y514" t="s">
        <v>6110</v>
      </c>
      <c r="Z514" t="s">
        <v>7902</v>
      </c>
      <c r="AA514">
        <v>1.4241542009241019</v>
      </c>
      <c r="AB514" t="str">
        <f>HYPERLINK("Melting_Curves/meltCurve_H7BZY9_ABHD5.pdf", "Melting_Curves/meltCurve_H7BZY9_ABHD5.pdf")</f>
        <v>Melting_Curves/meltCurve_H7BZY9_ABHD5.pdf</v>
      </c>
    </row>
    <row r="515" spans="1:28" x14ac:dyDescent="0.25">
      <c r="A515" t="s">
        <v>519</v>
      </c>
      <c r="B515">
        <v>1</v>
      </c>
      <c r="C515">
        <v>0.81672224042557295</v>
      </c>
      <c r="D515">
        <v>0.91505888248559297</v>
      </c>
      <c r="E515">
        <v>1.8494882716882199</v>
      </c>
      <c r="F515">
        <v>1.3203361409324801</v>
      </c>
      <c r="G515">
        <v>1.18919491933774</v>
      </c>
      <c r="H515">
        <v>0.74935913497677498</v>
      </c>
      <c r="I515">
        <v>1.8673168475223101</v>
      </c>
      <c r="J515">
        <v>1.4350557986238299</v>
      </c>
      <c r="K515">
        <v>1.3326330397239901</v>
      </c>
      <c r="L515">
        <v>11941.7198772464</v>
      </c>
      <c r="M515">
        <v>250</v>
      </c>
      <c r="O515">
        <v>47.763831974484503</v>
      </c>
      <c r="P515">
        <v>0.51282415047918195</v>
      </c>
      <c r="Q515">
        <v>1.39191106893863</v>
      </c>
      <c r="R515">
        <v>0.329616697587158</v>
      </c>
      <c r="S515" t="s">
        <v>2389</v>
      </c>
      <c r="T515" t="s">
        <v>3746</v>
      </c>
      <c r="U515" t="s">
        <v>3746</v>
      </c>
      <c r="V515" t="s">
        <v>3746</v>
      </c>
      <c r="W515" t="s">
        <v>4254</v>
      </c>
      <c r="X515">
        <v>1</v>
      </c>
      <c r="Y515" t="s">
        <v>6111</v>
      </c>
      <c r="Z515" t="s">
        <v>7903</v>
      </c>
      <c r="AA515">
        <v>1.2904140132932591</v>
      </c>
      <c r="AB515" t="str">
        <f>HYPERLINK("Melting_Curves/meltCurve_H7C089_TTC38.pdf", "Melting_Curves/meltCurve_H7C089_TTC38.pdf")</f>
        <v>Melting_Curves/meltCurve_H7C089_TTC38.pdf</v>
      </c>
    </row>
    <row r="516" spans="1:28" x14ac:dyDescent="0.25">
      <c r="A516" t="s">
        <v>520</v>
      </c>
      <c r="B516">
        <v>1</v>
      </c>
      <c r="C516">
        <v>1.40186692768639</v>
      </c>
      <c r="D516">
        <v>2.4615035691264602</v>
      </c>
      <c r="E516">
        <v>3.24086232005157</v>
      </c>
      <c r="F516">
        <v>1.9907131090791901</v>
      </c>
      <c r="G516">
        <v>1.3804999164418601</v>
      </c>
      <c r="H516">
        <v>3.39568362499105</v>
      </c>
      <c r="I516">
        <v>3.2384749444935199</v>
      </c>
      <c r="J516">
        <v>3.03650297228257</v>
      </c>
      <c r="K516">
        <v>3.5094420703320801</v>
      </c>
      <c r="S516" t="s">
        <v>2390</v>
      </c>
      <c r="T516" t="s">
        <v>3746</v>
      </c>
      <c r="U516" t="s">
        <v>3747</v>
      </c>
      <c r="V516" t="s">
        <v>3746</v>
      </c>
      <c r="W516" t="s">
        <v>4255</v>
      </c>
      <c r="X516">
        <v>1</v>
      </c>
      <c r="Y516" t="s">
        <v>6112</v>
      </c>
      <c r="Z516" t="s">
        <v>7904</v>
      </c>
      <c r="AB516" t="str">
        <f>HYPERLINK("Melting_Curves/meltCurve_H7C123_RPL10.pdf", "Melting_Curves/meltCurve_H7C123_RPL10.pdf")</f>
        <v>Melting_Curves/meltCurve_H7C123_RPL10.pdf</v>
      </c>
    </row>
    <row r="517" spans="1:28" x14ac:dyDescent="0.25">
      <c r="A517" t="s">
        <v>521</v>
      </c>
      <c r="B517">
        <v>1</v>
      </c>
      <c r="C517">
        <v>1.3536227063584501</v>
      </c>
      <c r="D517">
        <v>1.75004157658407</v>
      </c>
      <c r="E517">
        <v>2.6688286490382001</v>
      </c>
      <c r="F517">
        <v>1.50507234325628</v>
      </c>
      <c r="G517">
        <v>2.0699595321248401</v>
      </c>
      <c r="H517">
        <v>1.3404845057929999</v>
      </c>
      <c r="I517">
        <v>2.0603692000665199</v>
      </c>
      <c r="J517">
        <v>2.5039636343477998</v>
      </c>
      <c r="K517">
        <v>2.2132601585453702</v>
      </c>
      <c r="S517" t="s">
        <v>2391</v>
      </c>
      <c r="T517" t="s">
        <v>3746</v>
      </c>
      <c r="U517" t="s">
        <v>3747</v>
      </c>
      <c r="V517" t="s">
        <v>3746</v>
      </c>
      <c r="W517" t="s">
        <v>4256</v>
      </c>
      <c r="X517">
        <v>2</v>
      </c>
      <c r="Y517" t="s">
        <v>6113</v>
      </c>
      <c r="Z517" t="s">
        <v>7905</v>
      </c>
      <c r="AB517" t="str">
        <f>HYPERLINK("Melting_Curves/meltCurve_H7C131_ACAA1.pdf", "Melting_Curves/meltCurve_H7C131_ACAA1.pdf")</f>
        <v>Melting_Curves/meltCurve_H7C131_ACAA1.pdf</v>
      </c>
    </row>
    <row r="518" spans="1:28" x14ac:dyDescent="0.25">
      <c r="A518" t="s">
        <v>522</v>
      </c>
      <c r="B518">
        <v>1</v>
      </c>
      <c r="C518">
        <v>1.1266833263917799</v>
      </c>
      <c r="D518">
        <v>1.88254893794252</v>
      </c>
      <c r="E518">
        <v>3.95585172844648</v>
      </c>
      <c r="F518">
        <v>4.4918783840066601</v>
      </c>
      <c r="G518">
        <v>3.26711092600305</v>
      </c>
      <c r="H518">
        <v>2.2682215743440199</v>
      </c>
      <c r="I518">
        <v>2.23448563098709</v>
      </c>
      <c r="J518">
        <v>3.5755935027072101</v>
      </c>
      <c r="K518">
        <v>2.8839372483687402</v>
      </c>
      <c r="L518">
        <v>10771.363500249799</v>
      </c>
      <c r="M518">
        <v>250</v>
      </c>
      <c r="O518">
        <v>43.082696942113401</v>
      </c>
      <c r="P518">
        <v>0.72534920849640705</v>
      </c>
      <c r="Q518">
        <v>1.5</v>
      </c>
      <c r="R518">
        <v>-1.0754376516995601</v>
      </c>
      <c r="S518" t="s">
        <v>2392</v>
      </c>
      <c r="T518" t="s">
        <v>3746</v>
      </c>
      <c r="U518" t="s">
        <v>3746</v>
      </c>
      <c r="V518" t="s">
        <v>3746</v>
      </c>
      <c r="W518" t="s">
        <v>4257</v>
      </c>
      <c r="X518">
        <v>1</v>
      </c>
      <c r="Y518" t="s">
        <v>6114</v>
      </c>
      <c r="Z518" t="s">
        <v>7906</v>
      </c>
      <c r="AA518">
        <v>1.448537959489042</v>
      </c>
      <c r="AB518" t="str">
        <f>HYPERLINK("Melting_Curves/meltCurve_H7C1T7_COPG2.pdf", "Melting_Curves/meltCurve_H7C1T7_COPG2.pdf")</f>
        <v>Melting_Curves/meltCurve_H7C1T7_COPG2.pdf</v>
      </c>
    </row>
    <row r="519" spans="1:28" x14ac:dyDescent="0.25">
      <c r="A519" t="s">
        <v>523</v>
      </c>
      <c r="B519">
        <v>1</v>
      </c>
      <c r="C519">
        <v>0.78300219568360696</v>
      </c>
      <c r="D519">
        <v>1.2995769292561501</v>
      </c>
      <c r="E519">
        <v>1.94039522304932</v>
      </c>
      <c r="F519">
        <v>1.3818347346436</v>
      </c>
      <c r="G519">
        <v>1.59551223691962</v>
      </c>
      <c r="H519">
        <v>1.52369731698174</v>
      </c>
      <c r="I519">
        <v>1.7420875060247401</v>
      </c>
      <c r="J519">
        <v>1.6440850425748399</v>
      </c>
      <c r="K519">
        <v>1.5982434531141201</v>
      </c>
      <c r="L519">
        <v>11481.5107323752</v>
      </c>
      <c r="M519">
        <v>250</v>
      </c>
      <c r="O519">
        <v>45.923104655272603</v>
      </c>
      <c r="P519">
        <v>0.68048536219860301</v>
      </c>
      <c r="Q519">
        <v>1.5</v>
      </c>
      <c r="R519">
        <v>0.67451912104348499</v>
      </c>
      <c r="S519" t="s">
        <v>2393</v>
      </c>
      <c r="T519" t="s">
        <v>3746</v>
      </c>
      <c r="U519" t="s">
        <v>3746</v>
      </c>
      <c r="V519" t="s">
        <v>3746</v>
      </c>
      <c r="W519" t="s">
        <v>4258</v>
      </c>
      <c r="X519">
        <v>4</v>
      </c>
      <c r="Y519" t="s">
        <v>6115</v>
      </c>
      <c r="Z519" t="s">
        <v>7907</v>
      </c>
      <c r="AA519">
        <v>1.4011923180963659</v>
      </c>
      <c r="AB519" t="str">
        <f>HYPERLINK("Melting_Curves/meltCurve_H7C1U0_APEH.pdf", "Melting_Curves/meltCurve_H7C1U0_APEH.pdf")</f>
        <v>Melting_Curves/meltCurve_H7C1U0_APEH.pdf</v>
      </c>
    </row>
    <row r="520" spans="1:28" x14ac:dyDescent="0.25">
      <c r="A520" t="s">
        <v>524</v>
      </c>
      <c r="B520">
        <v>1</v>
      </c>
      <c r="C520">
        <v>1.11553784860558</v>
      </c>
      <c r="D520">
        <v>1.2080767837739901</v>
      </c>
      <c r="E520">
        <v>1.51602680188338</v>
      </c>
      <c r="F520">
        <v>0.73512314378848198</v>
      </c>
      <c r="G520">
        <v>0.83918869974646904</v>
      </c>
      <c r="H520">
        <v>0.48504165157551599</v>
      </c>
      <c r="I520">
        <v>1.08520463600145</v>
      </c>
      <c r="J520">
        <v>0.90518833755885497</v>
      </c>
      <c r="K520">
        <v>0.72462875769648705</v>
      </c>
      <c r="L520">
        <v>5448.7010793787103</v>
      </c>
      <c r="M520">
        <v>104.840970632086</v>
      </c>
      <c r="O520">
        <v>51.9522095774593</v>
      </c>
      <c r="P520">
        <v>-0.103543682423195</v>
      </c>
      <c r="Q520">
        <v>0.79476259420006101</v>
      </c>
      <c r="R520">
        <v>0.30041986069103499</v>
      </c>
      <c r="S520" t="s">
        <v>2394</v>
      </c>
      <c r="T520" t="s">
        <v>3746</v>
      </c>
      <c r="U520" t="s">
        <v>3746</v>
      </c>
      <c r="V520" t="s">
        <v>3746</v>
      </c>
      <c r="W520" t="s">
        <v>4259</v>
      </c>
      <c r="X520">
        <v>1</v>
      </c>
      <c r="Y520" t="s">
        <v>6116</v>
      </c>
      <c r="Z520" t="s">
        <v>7908</v>
      </c>
      <c r="AA520">
        <v>0.87676642960312945</v>
      </c>
      <c r="AB520" t="str">
        <f>HYPERLINK("Melting_Curves/meltCurve_H7C284_MFSD6.pdf", "Melting_Curves/meltCurve_H7C284_MFSD6.pdf")</f>
        <v>Melting_Curves/meltCurve_H7C284_MFSD6.pdf</v>
      </c>
    </row>
    <row r="521" spans="1:28" x14ac:dyDescent="0.25">
      <c r="A521" t="s">
        <v>525</v>
      </c>
      <c r="B521">
        <v>1</v>
      </c>
      <c r="C521">
        <v>0.95546799835066698</v>
      </c>
      <c r="D521">
        <v>1.7748659916617</v>
      </c>
      <c r="E521">
        <v>2.0027030741741898</v>
      </c>
      <c r="F521">
        <v>1.3218032711779</v>
      </c>
      <c r="G521">
        <v>1.35818023548816</v>
      </c>
      <c r="H521">
        <v>1.20492967425665</v>
      </c>
      <c r="I521">
        <v>1.5397443533238599</v>
      </c>
      <c r="J521">
        <v>1.8456498831722199</v>
      </c>
      <c r="K521">
        <v>1.5041920557108199</v>
      </c>
      <c r="L521">
        <v>11060.212560088999</v>
      </c>
      <c r="M521">
        <v>250</v>
      </c>
      <c r="O521">
        <v>44.238020437478703</v>
      </c>
      <c r="P521">
        <v>0.70640595257821304</v>
      </c>
      <c r="Q521">
        <v>1.5</v>
      </c>
      <c r="R521">
        <v>0.468463661083172</v>
      </c>
      <c r="S521" t="s">
        <v>2395</v>
      </c>
      <c r="T521" t="s">
        <v>3746</v>
      </c>
      <c r="U521" t="s">
        <v>3746</v>
      </c>
      <c r="V521" t="s">
        <v>3746</v>
      </c>
      <c r="W521" t="s">
        <v>4260</v>
      </c>
      <c r="X521">
        <v>1</v>
      </c>
      <c r="Y521" t="s">
        <v>6117</v>
      </c>
      <c r="Z521" t="s">
        <v>7909</v>
      </c>
      <c r="AA521">
        <v>1.429280341658909</v>
      </c>
      <c r="AB521" t="str">
        <f>HYPERLINK("Melting_Curves/meltCurve_H7C2I8_ILKAP.pdf", "Melting_Curves/meltCurve_H7C2I8_ILKAP.pdf")</f>
        <v>Melting_Curves/meltCurve_H7C2I8_ILKAP.pdf</v>
      </c>
    </row>
    <row r="522" spans="1:28" x14ac:dyDescent="0.25">
      <c r="A522" t="s">
        <v>526</v>
      </c>
      <c r="B522">
        <v>1</v>
      </c>
      <c r="C522">
        <v>1.1682668108350001</v>
      </c>
      <c r="D522">
        <v>1.49426744467851</v>
      </c>
      <c r="E522">
        <v>2.0111481888853699</v>
      </c>
      <c r="F522">
        <v>1.29141887735128</v>
      </c>
      <c r="G522">
        <v>1.61741951119479</v>
      </c>
      <c r="H522">
        <v>0.97207360041759105</v>
      </c>
      <c r="I522">
        <v>2.1183423127831298</v>
      </c>
      <c r="J522">
        <v>2.2777353144050299</v>
      </c>
      <c r="K522">
        <v>2.1084618109282101</v>
      </c>
      <c r="L522">
        <v>3586.49425998378</v>
      </c>
      <c r="M522">
        <v>82.922114479192601</v>
      </c>
      <c r="O522">
        <v>43.226224321449102</v>
      </c>
      <c r="P522">
        <v>0.239791137106001</v>
      </c>
      <c r="Q522">
        <v>1.5</v>
      </c>
      <c r="R522">
        <v>0.11254365525741999</v>
      </c>
      <c r="S522" t="s">
        <v>2396</v>
      </c>
      <c r="T522" t="s">
        <v>3746</v>
      </c>
      <c r="U522" t="s">
        <v>3746</v>
      </c>
      <c r="V522" t="s">
        <v>3746</v>
      </c>
      <c r="W522" t="s">
        <v>4261</v>
      </c>
      <c r="X522">
        <v>2</v>
      </c>
      <c r="Y522" t="s">
        <v>6118</v>
      </c>
      <c r="Z522" t="s">
        <v>7910</v>
      </c>
      <c r="AA522">
        <v>1.445456472690172</v>
      </c>
      <c r="AB522" t="str">
        <f>HYPERLINK("Melting_Curves/meltCurve_H7C2S8_PLOD3.pdf", "Melting_Curves/meltCurve_H7C2S8_PLOD3.pdf")</f>
        <v>Melting_Curves/meltCurve_H7C2S8_PLOD3.pdf</v>
      </c>
    </row>
    <row r="523" spans="1:28" x14ac:dyDescent="0.25">
      <c r="A523" t="s">
        <v>527</v>
      </c>
      <c r="B523">
        <v>1</v>
      </c>
      <c r="C523">
        <v>1.3565923127966899</v>
      </c>
      <c r="D523">
        <v>1.9625338165484201</v>
      </c>
      <c r="E523">
        <v>2.2170384360165398</v>
      </c>
      <c r="F523">
        <v>1.8126690827420799</v>
      </c>
      <c r="G523">
        <v>2.0271553264254001</v>
      </c>
      <c r="H523">
        <v>1.09943341330203</v>
      </c>
      <c r="I523">
        <v>1.88734623041192</v>
      </c>
      <c r="J523">
        <v>1.69159307845439</v>
      </c>
      <c r="K523">
        <v>1.6351385840436901</v>
      </c>
      <c r="L523">
        <v>10685.922302454301</v>
      </c>
      <c r="M523">
        <v>250</v>
      </c>
      <c r="O523">
        <v>42.740945608337</v>
      </c>
      <c r="P523">
        <v>0.73114886704151105</v>
      </c>
      <c r="Q523">
        <v>1.5</v>
      </c>
      <c r="R523">
        <v>-1.0228384349779501E-2</v>
      </c>
      <c r="S523" t="s">
        <v>2397</v>
      </c>
      <c r="T523" t="s">
        <v>3746</v>
      </c>
      <c r="U523" t="s">
        <v>3746</v>
      </c>
      <c r="V523" t="s">
        <v>3746</v>
      </c>
      <c r="W523" t="s">
        <v>4262</v>
      </c>
      <c r="X523">
        <v>1</v>
      </c>
      <c r="Y523" t="s">
        <v>6119</v>
      </c>
      <c r="Z523" t="s">
        <v>7911</v>
      </c>
      <c r="AA523">
        <v>1.4542343391599499</v>
      </c>
      <c r="AB523" t="str">
        <f>HYPERLINK("Melting_Curves/meltCurve_H7C3L5_TAX1BP1.pdf", "Melting_Curves/meltCurve_H7C3L5_TAX1BP1.pdf")</f>
        <v>Melting_Curves/meltCurve_H7C3L5_TAX1BP1.pdf</v>
      </c>
    </row>
    <row r="524" spans="1:28" x14ac:dyDescent="0.25">
      <c r="A524" t="s">
        <v>528</v>
      </c>
      <c r="B524">
        <v>1</v>
      </c>
      <c r="C524">
        <v>1.03803025808365</v>
      </c>
      <c r="D524">
        <v>1.4650845446455101</v>
      </c>
      <c r="E524">
        <v>1.78724414120439</v>
      </c>
      <c r="F524">
        <v>1.2763571640462801</v>
      </c>
      <c r="G524">
        <v>1.5051320083061399</v>
      </c>
      <c r="H524">
        <v>0.78404034411154</v>
      </c>
      <c r="I524">
        <v>1.2472856719074501</v>
      </c>
      <c r="J524">
        <v>1.2649658854939201</v>
      </c>
      <c r="K524">
        <v>1.1598932067635701</v>
      </c>
      <c r="L524">
        <v>10809.5938016319</v>
      </c>
      <c r="M524">
        <v>250</v>
      </c>
      <c r="O524">
        <v>43.235608250638698</v>
      </c>
      <c r="P524">
        <v>0.44993349169765701</v>
      </c>
      <c r="Q524">
        <v>1.3112503705133201</v>
      </c>
      <c r="R524">
        <v>0.18727360353262301</v>
      </c>
      <c r="S524" t="s">
        <v>2398</v>
      </c>
      <c r="T524" t="s">
        <v>3746</v>
      </c>
      <c r="U524" t="s">
        <v>3746</v>
      </c>
      <c r="V524" t="s">
        <v>3746</v>
      </c>
      <c r="W524" t="s">
        <v>4263</v>
      </c>
      <c r="X524">
        <v>7</v>
      </c>
      <c r="Y524" t="s">
        <v>6120</v>
      </c>
      <c r="Z524" t="s">
        <v>7912</v>
      </c>
      <c r="AA524">
        <v>1.2776285692368721</v>
      </c>
      <c r="AB524" t="str">
        <f>HYPERLINK("Melting_Curves/meltCurve_H7C3P4_GNS.pdf", "Melting_Curves/meltCurve_H7C3P4_GNS.pdf")</f>
        <v>Melting_Curves/meltCurve_H7C3P4_GNS.pdf</v>
      </c>
    </row>
    <row r="525" spans="1:28" x14ac:dyDescent="0.25">
      <c r="A525" t="s">
        <v>529</v>
      </c>
      <c r="B525">
        <v>1</v>
      </c>
      <c r="C525">
        <v>1.0593311530752201</v>
      </c>
      <c r="D525">
        <v>1.7152020255301199</v>
      </c>
      <c r="E525">
        <v>2.29665576537609</v>
      </c>
      <c r="F525">
        <v>1.5019938812111</v>
      </c>
      <c r="G525">
        <v>1.6091992826247501</v>
      </c>
      <c r="H525">
        <v>1.3306466926891001</v>
      </c>
      <c r="I525">
        <v>1.92876885747442</v>
      </c>
      <c r="J525">
        <v>2.14389703555227</v>
      </c>
      <c r="K525">
        <v>1.85238949256251</v>
      </c>
      <c r="L525">
        <v>10811.0208393189</v>
      </c>
      <c r="M525">
        <v>250</v>
      </c>
      <c r="O525">
        <v>43.241315961860202</v>
      </c>
      <c r="P525">
        <v>0.72268845888433997</v>
      </c>
      <c r="Q525">
        <v>1.5</v>
      </c>
      <c r="R525">
        <v>0.141164544297181</v>
      </c>
      <c r="S525" t="s">
        <v>2399</v>
      </c>
      <c r="T525" t="s">
        <v>3746</v>
      </c>
      <c r="U525" t="s">
        <v>3746</v>
      </c>
      <c r="V525" t="s">
        <v>3746</v>
      </c>
      <c r="W525" t="s">
        <v>4264</v>
      </c>
      <c r="X525">
        <v>2</v>
      </c>
      <c r="Y525" t="s">
        <v>6121</v>
      </c>
      <c r="Z525" t="s">
        <v>7913</v>
      </c>
      <c r="AA525">
        <v>1.445893997694943</v>
      </c>
      <c r="AB525" t="str">
        <f>HYPERLINK("Melting_Curves/meltCurve_H7C3P7_RALA.pdf", "Melting_Curves/meltCurve_H7C3P7_RALA.pdf")</f>
        <v>Melting_Curves/meltCurve_H7C3P7_RALA.pdf</v>
      </c>
    </row>
    <row r="526" spans="1:28" x14ac:dyDescent="0.25">
      <c r="A526" t="s">
        <v>530</v>
      </c>
      <c r="B526">
        <v>1</v>
      </c>
      <c r="C526">
        <v>0.977209041658883</v>
      </c>
      <c r="D526">
        <v>1.41733607322996</v>
      </c>
      <c r="E526">
        <v>1.69185503456006</v>
      </c>
      <c r="F526">
        <v>1.1519708574631</v>
      </c>
      <c r="G526">
        <v>1.3122548103867</v>
      </c>
      <c r="H526">
        <v>0.87753596114328403</v>
      </c>
      <c r="I526">
        <v>1.28068372875023</v>
      </c>
      <c r="J526">
        <v>1.3703530730431499</v>
      </c>
      <c r="K526">
        <v>1.43891275920045</v>
      </c>
      <c r="L526">
        <v>11067.823499721901</v>
      </c>
      <c r="M526">
        <v>250</v>
      </c>
      <c r="O526">
        <v>44.268460957081103</v>
      </c>
      <c r="P526">
        <v>0.44842038235911402</v>
      </c>
      <c r="Q526">
        <v>1.31761408245256</v>
      </c>
      <c r="R526">
        <v>0.30690364141911097</v>
      </c>
      <c r="S526" t="s">
        <v>2400</v>
      </c>
      <c r="T526" t="s">
        <v>3746</v>
      </c>
      <c r="U526" t="s">
        <v>3746</v>
      </c>
      <c r="V526" t="s">
        <v>3746</v>
      </c>
      <c r="W526" t="s">
        <v>4265</v>
      </c>
      <c r="X526">
        <v>2</v>
      </c>
      <c r="Y526" t="s">
        <v>6122</v>
      </c>
      <c r="Z526" t="s">
        <v>7914</v>
      </c>
      <c r="AA526">
        <v>1.2723686344778311</v>
      </c>
      <c r="AB526" t="str">
        <f>HYPERLINK("Melting_Curves/meltCurve_H7C472_ST6GAL1.pdf", "Melting_Curves/meltCurve_H7C472_ST6GAL1.pdf")</f>
        <v>Melting_Curves/meltCurve_H7C472_ST6GAL1.pdf</v>
      </c>
    </row>
    <row r="527" spans="1:28" x14ac:dyDescent="0.25">
      <c r="A527" t="s">
        <v>531</v>
      </c>
      <c r="B527">
        <v>1</v>
      </c>
      <c r="C527">
        <v>0.95570993813610094</v>
      </c>
      <c r="D527">
        <v>1.40465974855318</v>
      </c>
      <c r="E527">
        <v>1.5933695869088</v>
      </c>
      <c r="F527">
        <v>0.95335262422670097</v>
      </c>
      <c r="G527">
        <v>1.17395479944123</v>
      </c>
      <c r="H527">
        <v>0.93576631410896005</v>
      </c>
      <c r="I527">
        <v>1.13270804230692</v>
      </c>
      <c r="J527">
        <v>1.0629115944921199</v>
      </c>
      <c r="K527">
        <v>0.92770904011175404</v>
      </c>
      <c r="L527">
        <v>15000</v>
      </c>
      <c r="M527">
        <v>211.73362100990801</v>
      </c>
      <c r="Q527">
        <v>0</v>
      </c>
      <c r="R527">
        <v>-0.27654479104301299</v>
      </c>
      <c r="S527" t="s">
        <v>2401</v>
      </c>
      <c r="T527" t="s">
        <v>3746</v>
      </c>
      <c r="U527" t="s">
        <v>3746</v>
      </c>
      <c r="V527" t="s">
        <v>3746</v>
      </c>
      <c r="W527" t="s">
        <v>4266</v>
      </c>
      <c r="X527">
        <v>1</v>
      </c>
      <c r="Y527" t="s">
        <v>6123</v>
      </c>
      <c r="Z527" t="s">
        <v>7915</v>
      </c>
      <c r="AA527">
        <v>0.99919064933260104</v>
      </c>
      <c r="AB527" t="str">
        <f>HYPERLINK("Melting_Curves/meltCurve_H7C570_GPR110.pdf", "Melting_Curves/meltCurve_H7C570_GPR110.pdf")</f>
        <v>Melting_Curves/meltCurve_H7C570_GPR110.pdf</v>
      </c>
    </row>
    <row r="528" spans="1:28" x14ac:dyDescent="0.25">
      <c r="A528" t="s">
        <v>532</v>
      </c>
      <c r="B528">
        <v>1</v>
      </c>
      <c r="C528">
        <v>1.09220684003968</v>
      </c>
      <c r="D528">
        <v>1.2627765558287001</v>
      </c>
      <c r="E528">
        <v>1.3352309483762499</v>
      </c>
      <c r="F528">
        <v>1.01787639625652</v>
      </c>
      <c r="G528">
        <v>1.2131797990253199</v>
      </c>
      <c r="H528">
        <v>0.64529693362660101</v>
      </c>
      <c r="I528">
        <v>1.0695756242722201</v>
      </c>
      <c r="J528">
        <v>1.06032475093803</v>
      </c>
      <c r="K528">
        <v>0.95367016000344995</v>
      </c>
      <c r="L528">
        <v>855.02521221505401</v>
      </c>
      <c r="M528">
        <v>8.3815099266349602</v>
      </c>
      <c r="Q528">
        <v>0</v>
      </c>
      <c r="R528">
        <v>-0.12612048965568001</v>
      </c>
      <c r="S528" t="s">
        <v>2402</v>
      </c>
      <c r="T528" t="s">
        <v>3746</v>
      </c>
      <c r="U528" t="s">
        <v>3746</v>
      </c>
      <c r="V528" t="s">
        <v>3746</v>
      </c>
      <c r="W528" t="s">
        <v>4267</v>
      </c>
      <c r="X528">
        <v>5</v>
      </c>
      <c r="Y528" t="s">
        <v>6124</v>
      </c>
      <c r="Z528" t="s">
        <v>7916</v>
      </c>
      <c r="AA528">
        <v>0.99645674373629489</v>
      </c>
      <c r="AB528" t="str">
        <f>HYPERLINK("Melting_Curves/meltCurve_H9KV70_LCN2.pdf", "Melting_Curves/meltCurve_H9KV70_LCN2.pdf")</f>
        <v>Melting_Curves/meltCurve_H9KV70_LCN2.pdf</v>
      </c>
    </row>
    <row r="529" spans="1:28" x14ac:dyDescent="0.25">
      <c r="A529" t="s">
        <v>533</v>
      </c>
      <c r="B529">
        <v>1</v>
      </c>
      <c r="C529">
        <v>1.08443039063844</v>
      </c>
      <c r="D529">
        <v>1.43215453450353</v>
      </c>
      <c r="E529">
        <v>1.8261486835312299</v>
      </c>
      <c r="F529">
        <v>1.4102564102564099</v>
      </c>
      <c r="G529">
        <v>1.3917355016348301</v>
      </c>
      <c r="H529">
        <v>1.21736792290484</v>
      </c>
      <c r="I529">
        <v>1.67032352435037</v>
      </c>
      <c r="J529">
        <v>1.65150146274307</v>
      </c>
      <c r="K529">
        <v>1.5447427293064899</v>
      </c>
      <c r="L529">
        <v>2396.08530667485</v>
      </c>
      <c r="M529">
        <v>54.185187831325102</v>
      </c>
      <c r="O529">
        <v>44.1601923414906</v>
      </c>
      <c r="P529">
        <v>0.15337688304442099</v>
      </c>
      <c r="Q529">
        <v>1.5</v>
      </c>
      <c r="R529">
        <v>0.584575216222464</v>
      </c>
      <c r="S529" t="s">
        <v>2403</v>
      </c>
      <c r="T529" t="s">
        <v>3746</v>
      </c>
      <c r="U529" t="s">
        <v>3746</v>
      </c>
      <c r="V529" t="s">
        <v>3746</v>
      </c>
      <c r="W529" t="s">
        <v>4268</v>
      </c>
      <c r="X529">
        <v>3</v>
      </c>
      <c r="Y529" t="s">
        <v>6125</v>
      </c>
      <c r="Z529" t="s">
        <v>7917</v>
      </c>
      <c r="AA529">
        <v>1.428796511341035</v>
      </c>
      <c r="AB529" t="str">
        <f>HYPERLINK("Melting_Curves/meltCurve_I3L0H8_DDX19A.pdf", "Melting_Curves/meltCurve_I3L0H8_DDX19A.pdf")</f>
        <v>Melting_Curves/meltCurve_I3L0H8_DDX19A.pdf</v>
      </c>
    </row>
    <row r="530" spans="1:28" x14ac:dyDescent="0.25">
      <c r="A530" t="s">
        <v>534</v>
      </c>
      <c r="B530">
        <v>1</v>
      </c>
      <c r="C530">
        <v>1.1704541902410099</v>
      </c>
      <c r="D530">
        <v>1.38216998530837</v>
      </c>
      <c r="E530">
        <v>1.67372073395643</v>
      </c>
      <c r="F530">
        <v>1.1150636116407699</v>
      </c>
      <c r="G530">
        <v>1.2465068300459501</v>
      </c>
      <c r="H530">
        <v>1.0247882216873501</v>
      </c>
      <c r="I530">
        <v>1.36854115219906</v>
      </c>
      <c r="J530">
        <v>1.4101466037323001</v>
      </c>
      <c r="K530">
        <v>1.1956487762183099</v>
      </c>
      <c r="L530">
        <v>10713.907991071501</v>
      </c>
      <c r="M530">
        <v>250</v>
      </c>
      <c r="O530">
        <v>42.852873916263199</v>
      </c>
      <c r="P530">
        <v>0.44056719707058101</v>
      </c>
      <c r="Q530">
        <v>1.3020732388002401</v>
      </c>
      <c r="R530">
        <v>0.23830557969645899</v>
      </c>
      <c r="S530" t="s">
        <v>2404</v>
      </c>
      <c r="T530" t="s">
        <v>3746</v>
      </c>
      <c r="U530" t="s">
        <v>3746</v>
      </c>
      <c r="V530" t="s">
        <v>3746</v>
      </c>
      <c r="W530" t="s">
        <v>4269</v>
      </c>
      <c r="X530">
        <v>2</v>
      </c>
      <c r="Y530" t="s">
        <v>6126</v>
      </c>
      <c r="Z530" t="s">
        <v>7918</v>
      </c>
      <c r="AA530">
        <v>1.273296853010893</v>
      </c>
      <c r="AB530" t="str">
        <f>HYPERLINK("Melting_Curves/meltCurve_I3L0N3_NSF.pdf", "Melting_Curves/meltCurve_I3L0N3_NSF.pdf")</f>
        <v>Melting_Curves/meltCurve_I3L0N3_NSF.pdf</v>
      </c>
    </row>
    <row r="531" spans="1:28" x14ac:dyDescent="0.25">
      <c r="A531" t="s">
        <v>535</v>
      </c>
      <c r="B531">
        <v>1</v>
      </c>
      <c r="C531">
        <v>1.00179147259047</v>
      </c>
      <c r="D531">
        <v>1.4504657828735199</v>
      </c>
      <c r="E531">
        <v>1.7395198853457501</v>
      </c>
      <c r="F531">
        <v>1.34494804729488</v>
      </c>
      <c r="G531">
        <v>1.43729845933357</v>
      </c>
      <c r="H531">
        <v>0.76491400931565701</v>
      </c>
      <c r="I531">
        <v>1.33876746685776</v>
      </c>
      <c r="J531">
        <v>1.1819240415621599</v>
      </c>
      <c r="K531">
        <v>1.1676818344679301</v>
      </c>
      <c r="L531">
        <v>10942.1152239575</v>
      </c>
      <c r="M531">
        <v>250</v>
      </c>
      <c r="O531">
        <v>43.7656601871238</v>
      </c>
      <c r="P531">
        <v>0.43297352475405398</v>
      </c>
      <c r="Q531">
        <v>1.30318995285106</v>
      </c>
      <c r="R531">
        <v>0.208252485486353</v>
      </c>
      <c r="S531" t="s">
        <v>2405</v>
      </c>
      <c r="T531" t="s">
        <v>3746</v>
      </c>
      <c r="U531" t="s">
        <v>3746</v>
      </c>
      <c r="V531" t="s">
        <v>3746</v>
      </c>
      <c r="W531" t="s">
        <v>4270</v>
      </c>
      <c r="X531">
        <v>3</v>
      </c>
      <c r="Y531" t="s">
        <v>6127</v>
      </c>
      <c r="Z531" t="s">
        <v>7919</v>
      </c>
      <c r="AA531">
        <v>1.265081347886664</v>
      </c>
      <c r="AB531" t="str">
        <f>HYPERLINK("Melting_Curves/meltCurve_I3L1J1_SHBG.pdf", "Melting_Curves/meltCurve_I3L1J1_SHBG.pdf")</f>
        <v>Melting_Curves/meltCurve_I3L1J1_SHBG.pdf</v>
      </c>
    </row>
    <row r="532" spans="1:28" x14ac:dyDescent="0.25">
      <c r="A532" t="s">
        <v>536</v>
      </c>
      <c r="B532">
        <v>1</v>
      </c>
      <c r="C532">
        <v>1.2312656520901599</v>
      </c>
      <c r="D532">
        <v>1.4498651512232701</v>
      </c>
      <c r="E532">
        <v>1.7625698324022301</v>
      </c>
      <c r="F532">
        <v>1.66345598150645</v>
      </c>
      <c r="G532">
        <v>1.7511076863802699</v>
      </c>
      <c r="H532">
        <v>0.96277210556732795</v>
      </c>
      <c r="I532">
        <v>1.5504719707185499</v>
      </c>
      <c r="J532">
        <v>1.4648911577730701</v>
      </c>
      <c r="K532">
        <v>1.3132344442304</v>
      </c>
      <c r="L532">
        <v>2135.4448716342299</v>
      </c>
      <c r="M532">
        <v>49.627667938711397</v>
      </c>
      <c r="O532">
        <v>42.959626117212203</v>
      </c>
      <c r="P532">
        <v>0.14223780860622001</v>
      </c>
      <c r="Q532">
        <v>1.49250573121399</v>
      </c>
      <c r="R532">
        <v>0.34064013902433599</v>
      </c>
      <c r="S532" t="s">
        <v>2406</v>
      </c>
      <c r="T532" t="s">
        <v>3746</v>
      </c>
      <c r="U532" t="s">
        <v>3746</v>
      </c>
      <c r="V532" t="s">
        <v>3746</v>
      </c>
      <c r="W532" t="s">
        <v>4271</v>
      </c>
      <c r="X532">
        <v>1</v>
      </c>
      <c r="Y532" t="s">
        <v>6128</v>
      </c>
      <c r="Z532" t="s">
        <v>7920</v>
      </c>
      <c r="AA532">
        <v>1.441551409764213</v>
      </c>
      <c r="AB532" t="str">
        <f>HYPERLINK("Melting_Curves/meltCurve_I3L1J2_CDH5.pdf", "Melting_Curves/meltCurve_I3L1J2_CDH5.pdf")</f>
        <v>Melting_Curves/meltCurve_I3L1J2_CDH5.pdf</v>
      </c>
    </row>
    <row r="533" spans="1:28" x14ac:dyDescent="0.25">
      <c r="A533" t="s">
        <v>537</v>
      </c>
      <c r="B533">
        <v>1</v>
      </c>
      <c r="C533">
        <v>1.03255813953488</v>
      </c>
      <c r="D533">
        <v>1.57899474868717</v>
      </c>
      <c r="E533">
        <v>2.41425356339085</v>
      </c>
      <c r="F533">
        <v>1.3821455363841</v>
      </c>
      <c r="G533">
        <v>1.2837209302325601</v>
      </c>
      <c r="H533">
        <v>1.0569392348086999</v>
      </c>
      <c r="I533">
        <v>1.9148537134283601</v>
      </c>
      <c r="J533">
        <v>1.81230307576894</v>
      </c>
      <c r="K533">
        <v>1.7555888972243101</v>
      </c>
      <c r="L533">
        <v>10839.295238954801</v>
      </c>
      <c r="M533">
        <v>250</v>
      </c>
      <c r="O533">
        <v>43.354407540603503</v>
      </c>
      <c r="P533">
        <v>0.72080331949716703</v>
      </c>
      <c r="Q533">
        <v>1.5</v>
      </c>
      <c r="R533">
        <v>0.24412498767157201</v>
      </c>
      <c r="S533" t="s">
        <v>2407</v>
      </c>
      <c r="T533" t="s">
        <v>3746</v>
      </c>
      <c r="U533" t="s">
        <v>3746</v>
      </c>
      <c r="V533" t="s">
        <v>3746</v>
      </c>
      <c r="W533" t="s">
        <v>4272</v>
      </c>
      <c r="X533">
        <v>2</v>
      </c>
      <c r="Y533" t="s">
        <v>6129</v>
      </c>
      <c r="Z533" t="s">
        <v>7921</v>
      </c>
      <c r="AA533">
        <v>1.444008938478907</v>
      </c>
      <c r="AB533" t="str">
        <f>HYPERLINK("Melting_Curves/meltCurve_I3L1P5_HGS.pdf", "Melting_Curves/meltCurve_I3L1P5_HGS.pdf")</f>
        <v>Melting_Curves/meltCurve_I3L1P5_HGS.pdf</v>
      </c>
    </row>
    <row r="534" spans="1:28" x14ac:dyDescent="0.25">
      <c r="A534" t="s">
        <v>538</v>
      </c>
      <c r="B534">
        <v>1</v>
      </c>
      <c r="C534">
        <v>1.3118619783893499</v>
      </c>
      <c r="D534">
        <v>1.8015242871072401</v>
      </c>
      <c r="E534">
        <v>2.2878236125206501</v>
      </c>
      <c r="F534">
        <v>2.0786818697391198</v>
      </c>
      <c r="G534">
        <v>2.2412592283047799</v>
      </c>
      <c r="H534">
        <v>1.31530455893181</v>
      </c>
      <c r="I534">
        <v>1.92020376892922</v>
      </c>
      <c r="J534">
        <v>2.0355003681372299</v>
      </c>
      <c r="K534">
        <v>1.7616659701908299</v>
      </c>
      <c r="L534">
        <v>10703.3189762358</v>
      </c>
      <c r="M534">
        <v>250</v>
      </c>
      <c r="O534">
        <v>42.810536316073197</v>
      </c>
      <c r="P534">
        <v>0.72996049231824001</v>
      </c>
      <c r="Q534">
        <v>1.5</v>
      </c>
      <c r="R534">
        <v>-0.280044277646189</v>
      </c>
      <c r="S534" t="s">
        <v>2408</v>
      </c>
      <c r="T534" t="s">
        <v>3746</v>
      </c>
      <c r="U534" t="s">
        <v>3746</v>
      </c>
      <c r="V534" t="s">
        <v>3746</v>
      </c>
      <c r="W534" t="s">
        <v>4273</v>
      </c>
      <c r="X534">
        <v>1</v>
      </c>
      <c r="Y534" t="s">
        <v>6130</v>
      </c>
      <c r="Z534" t="s">
        <v>7922</v>
      </c>
      <c r="AA534">
        <v>1.4530744998773479</v>
      </c>
      <c r="AB534" t="str">
        <f>HYPERLINK("Melting_Curves/meltCurve_I3L1Q1_TOM1L1.pdf", "Melting_Curves/meltCurve_I3L1Q1_TOM1L1.pdf")</f>
        <v>Melting_Curves/meltCurve_I3L1Q1_TOM1L1.pdf</v>
      </c>
    </row>
    <row r="535" spans="1:28" x14ac:dyDescent="0.25">
      <c r="A535" t="s">
        <v>539</v>
      </c>
      <c r="B535">
        <v>1</v>
      </c>
      <c r="C535">
        <v>0.95738694050416295</v>
      </c>
      <c r="D535">
        <v>1.54996664055928</v>
      </c>
      <c r="E535">
        <v>1.83024395904041</v>
      </c>
      <c r="F535">
        <v>1.45421054158327</v>
      </c>
      <c r="G535">
        <v>1.78403388158849</v>
      </c>
      <c r="H535">
        <v>1.1409218808922901</v>
      </c>
      <c r="I535">
        <v>2.0783221651727399</v>
      </c>
      <c r="J535">
        <v>2.1535114437385801</v>
      </c>
      <c r="K535">
        <v>1.8833579903112601</v>
      </c>
      <c r="L535">
        <v>11097.0053723581</v>
      </c>
      <c r="M535">
        <v>250</v>
      </c>
      <c r="O535">
        <v>44.385181037566902</v>
      </c>
      <c r="P535">
        <v>0.70406381966755005</v>
      </c>
      <c r="Q535">
        <v>1.5</v>
      </c>
      <c r="R535">
        <v>0.277322253371382</v>
      </c>
      <c r="S535" t="s">
        <v>2409</v>
      </c>
      <c r="T535" t="s">
        <v>3746</v>
      </c>
      <c r="U535" t="s">
        <v>3746</v>
      </c>
      <c r="V535" t="s">
        <v>3746</v>
      </c>
      <c r="W535" t="s">
        <v>4274</v>
      </c>
      <c r="X535">
        <v>2</v>
      </c>
      <c r="Y535" t="s">
        <v>6131</v>
      </c>
      <c r="Z535" t="s">
        <v>7923</v>
      </c>
      <c r="AA535">
        <v>1.4268273583660149</v>
      </c>
      <c r="AB535" t="str">
        <f>HYPERLINK("Melting_Curves/meltCurve_I3L2G3_FN3KRP.pdf", "Melting_Curves/meltCurve_I3L2G3_FN3KRP.pdf")</f>
        <v>Melting_Curves/meltCurve_I3L2G3_FN3KRP.pdf</v>
      </c>
    </row>
    <row r="536" spans="1:28" x14ac:dyDescent="0.25">
      <c r="A536" t="s">
        <v>540</v>
      </c>
      <c r="B536">
        <v>1</v>
      </c>
      <c r="C536">
        <v>1.1424661192335901</v>
      </c>
      <c r="D536">
        <v>1.5595834167835001</v>
      </c>
      <c r="E536">
        <v>2.2079578075973001</v>
      </c>
      <c r="F536">
        <v>1.58995927632018</v>
      </c>
      <c r="G536">
        <v>2.2177047867013799</v>
      </c>
      <c r="H536">
        <v>0.81420655584484902</v>
      </c>
      <c r="I536">
        <v>1.9300353828693499</v>
      </c>
      <c r="J536">
        <v>1.92422725148541</v>
      </c>
      <c r="K536">
        <v>1.6515121169637501</v>
      </c>
      <c r="L536">
        <v>10764.473388792199</v>
      </c>
      <c r="M536">
        <v>250</v>
      </c>
      <c r="O536">
        <v>43.055138322452898</v>
      </c>
      <c r="P536">
        <v>0.72581348916397803</v>
      </c>
      <c r="Q536">
        <v>1.5</v>
      </c>
      <c r="R536">
        <v>0.12528939020627899</v>
      </c>
      <c r="S536" t="s">
        <v>2410</v>
      </c>
      <c r="T536" t="s">
        <v>3746</v>
      </c>
      <c r="U536" t="s">
        <v>3746</v>
      </c>
      <c r="V536" t="s">
        <v>3746</v>
      </c>
      <c r="W536" t="s">
        <v>4275</v>
      </c>
      <c r="X536">
        <v>5</v>
      </c>
      <c r="Y536" t="s">
        <v>6132</v>
      </c>
      <c r="Z536" t="s">
        <v>7924</v>
      </c>
      <c r="AA536">
        <v>1.448997324435003</v>
      </c>
      <c r="AB536" t="str">
        <f>HYPERLINK("Melting_Curves/meltCurve_I3L397_EIF5A.pdf", "Melting_Curves/meltCurve_I3L397_EIF5A.pdf")</f>
        <v>Melting_Curves/meltCurve_I3L397_EIF5A.pdf</v>
      </c>
    </row>
    <row r="537" spans="1:28" x14ac:dyDescent="0.25">
      <c r="A537" t="s">
        <v>541</v>
      </c>
      <c r="B537">
        <v>1</v>
      </c>
      <c r="C537">
        <v>1.01829075548148</v>
      </c>
      <c r="D537">
        <v>1.5375441823040901</v>
      </c>
      <c r="E537">
        <v>2.1736256788988202</v>
      </c>
      <c r="F537">
        <v>1.9277852811862399</v>
      </c>
      <c r="G537">
        <v>2.37822925946148</v>
      </c>
      <c r="H537">
        <v>1.2887726658812</v>
      </c>
      <c r="I537">
        <v>2.0374148682433399</v>
      </c>
      <c r="J537">
        <v>2.0480473576826901</v>
      </c>
      <c r="K537">
        <v>1.9147101928216299</v>
      </c>
      <c r="L537">
        <v>10865.321081206799</v>
      </c>
      <c r="M537">
        <v>250</v>
      </c>
      <c r="O537">
        <v>43.4584965395712</v>
      </c>
      <c r="P537">
        <v>0.71907676985875602</v>
      </c>
      <c r="Q537">
        <v>1.5</v>
      </c>
      <c r="R537">
        <v>-2.7004835605304499E-2</v>
      </c>
      <c r="S537" t="s">
        <v>2411</v>
      </c>
      <c r="T537" t="s">
        <v>3746</v>
      </c>
      <c r="U537" t="s">
        <v>3746</v>
      </c>
      <c r="V537" t="s">
        <v>3746</v>
      </c>
      <c r="W537" t="s">
        <v>4276</v>
      </c>
      <c r="X537">
        <v>8</v>
      </c>
      <c r="Y537" t="s">
        <v>6133</v>
      </c>
      <c r="Z537" t="s">
        <v>7925</v>
      </c>
      <c r="AA537">
        <v>1.4422737909797829</v>
      </c>
      <c r="AB537" t="str">
        <f>HYPERLINK("Melting_Curves/meltCurve_I3L459_PITPNA.pdf", "Melting_Curves/meltCurve_I3L459_PITPNA.pdf")</f>
        <v>Melting_Curves/meltCurve_I3L459_PITPNA.pdf</v>
      </c>
    </row>
    <row r="538" spans="1:28" x14ac:dyDescent="0.25">
      <c r="A538" t="s">
        <v>542</v>
      </c>
      <c r="B538">
        <v>1</v>
      </c>
      <c r="C538">
        <v>0.91119915073380497</v>
      </c>
      <c r="D538">
        <v>1.3396736453875899</v>
      </c>
      <c r="E538">
        <v>1.60813369376074</v>
      </c>
      <c r="F538">
        <v>1.1826250642968901</v>
      </c>
      <c r="G538">
        <v>1.2583585960841801</v>
      </c>
      <c r="H538">
        <v>0.70688277718800996</v>
      </c>
      <c r="I538">
        <v>1.19608637124752</v>
      </c>
      <c r="J538">
        <v>1.16051787727228</v>
      </c>
      <c r="K538">
        <v>0.86307771442329795</v>
      </c>
      <c r="L538">
        <v>15000</v>
      </c>
      <c r="M538">
        <v>212.44449893103501</v>
      </c>
      <c r="Q538">
        <v>0</v>
      </c>
      <c r="R538">
        <v>-0.21532569423966499</v>
      </c>
      <c r="S538" t="s">
        <v>2412</v>
      </c>
      <c r="T538" t="s">
        <v>3746</v>
      </c>
      <c r="U538" t="s">
        <v>3746</v>
      </c>
      <c r="V538" t="s">
        <v>3746</v>
      </c>
      <c r="W538" t="s">
        <v>4277</v>
      </c>
      <c r="X538">
        <v>4</v>
      </c>
      <c r="Y538" t="s">
        <v>6134</v>
      </c>
      <c r="Z538" t="s">
        <v>7926</v>
      </c>
      <c r="AA538">
        <v>0.99841209600951641</v>
      </c>
      <c r="AB538" t="str">
        <f>HYPERLINK("Melting_Curves/meltCurve_I3L4C2_BAIAP2.pdf", "Melting_Curves/meltCurve_I3L4C2_BAIAP2.pdf")</f>
        <v>Melting_Curves/meltCurve_I3L4C2_BAIAP2.pdf</v>
      </c>
    </row>
    <row r="539" spans="1:28" x14ac:dyDescent="0.25">
      <c r="A539" t="s">
        <v>543</v>
      </c>
      <c r="B539">
        <v>1</v>
      </c>
      <c r="C539">
        <v>0.87214967842525803</v>
      </c>
      <c r="D539">
        <v>1.2553758201780001</v>
      </c>
      <c r="E539">
        <v>1.51003702981875</v>
      </c>
      <c r="F539">
        <v>1.0674982134736599</v>
      </c>
      <c r="G539">
        <v>1.3729617358539601</v>
      </c>
      <c r="H539">
        <v>0.60682128240109101</v>
      </c>
      <c r="I539">
        <v>1.08445397258494</v>
      </c>
      <c r="J539">
        <v>1.0312479698564301</v>
      </c>
      <c r="K539">
        <v>0.97472877281881398</v>
      </c>
      <c r="L539">
        <v>1072.40748382474</v>
      </c>
      <c r="M539">
        <v>11.001844175241599</v>
      </c>
      <c r="Q539">
        <v>0</v>
      </c>
      <c r="R539">
        <v>-0.101726767421968</v>
      </c>
      <c r="S539" t="s">
        <v>2413</v>
      </c>
      <c r="T539" t="s">
        <v>3746</v>
      </c>
      <c r="U539" t="s">
        <v>3746</v>
      </c>
      <c r="V539" t="s">
        <v>3746</v>
      </c>
      <c r="W539" t="s">
        <v>4278</v>
      </c>
      <c r="X539">
        <v>3</v>
      </c>
      <c r="Y539" t="s">
        <v>6135</v>
      </c>
      <c r="Z539" t="s">
        <v>7927</v>
      </c>
      <c r="AA539">
        <v>0.99820679569714121</v>
      </c>
      <c r="AB539" t="str">
        <f>HYPERLINK("Melting_Curves/meltCurve_I6L8B7_FABP5.pdf", "Melting_Curves/meltCurve_I6L8B7_FABP5.pdf")</f>
        <v>Melting_Curves/meltCurve_I6L8B7_FABP5.pdf</v>
      </c>
    </row>
    <row r="540" spans="1:28" x14ac:dyDescent="0.25">
      <c r="A540" t="s">
        <v>544</v>
      </c>
      <c r="B540">
        <v>1</v>
      </c>
      <c r="C540">
        <v>0.96935516749337503</v>
      </c>
      <c r="D540">
        <v>1.22171638241489</v>
      </c>
      <c r="E540">
        <v>1.1780254127879299</v>
      </c>
      <c r="F540">
        <v>0.87714887545015996</v>
      </c>
      <c r="G540">
        <v>1.0259563769790001</v>
      </c>
      <c r="H540">
        <v>0.47205952300061199</v>
      </c>
      <c r="I540">
        <v>0.89060270435550704</v>
      </c>
      <c r="J540">
        <v>0.937962900047564</v>
      </c>
      <c r="K540">
        <v>0.78901950125705</v>
      </c>
      <c r="L540">
        <v>14662.945713925399</v>
      </c>
      <c r="M540">
        <v>250</v>
      </c>
      <c r="O540">
        <v>58.648016361735799</v>
      </c>
      <c r="P540">
        <v>-0.24253050640676599</v>
      </c>
      <c r="Q540">
        <v>0.772417019257986</v>
      </c>
      <c r="R540">
        <v>0.420440825102191</v>
      </c>
      <c r="S540" t="s">
        <v>2414</v>
      </c>
      <c r="T540" t="s">
        <v>3746</v>
      </c>
      <c r="U540" t="s">
        <v>3746</v>
      </c>
      <c r="V540" t="s">
        <v>3746</v>
      </c>
      <c r="W540" t="s">
        <v>4279</v>
      </c>
      <c r="X540">
        <v>2</v>
      </c>
      <c r="Y540" t="s">
        <v>6136</v>
      </c>
      <c r="Z540" t="s">
        <v>7928</v>
      </c>
      <c r="AA540">
        <v>0.91393472299767031</v>
      </c>
      <c r="AB540" t="str">
        <f>HYPERLINK("Melting_Curves/meltCurve_J3KMX5_RPS13.pdf", "Melting_Curves/meltCurve_J3KMX5_RPS13.pdf")</f>
        <v>Melting_Curves/meltCurve_J3KMX5_RPS13.pdf</v>
      </c>
    </row>
    <row r="541" spans="1:28" x14ac:dyDescent="0.25">
      <c r="A541" t="s">
        <v>545</v>
      </c>
      <c r="B541">
        <v>1</v>
      </c>
      <c r="C541">
        <v>1.1016961619371299</v>
      </c>
      <c r="D541">
        <v>1.32996454683202</v>
      </c>
      <c r="E541">
        <v>1.6690939582505799</v>
      </c>
      <c r="F541">
        <v>1.0358209394354001</v>
      </c>
      <c r="G541">
        <v>1.0946349500566399</v>
      </c>
      <c r="H541">
        <v>0.75940391603042201</v>
      </c>
      <c r="I541">
        <v>0.96095738264413</v>
      </c>
      <c r="J541">
        <v>1.06024096385542</v>
      </c>
      <c r="K541">
        <v>1.0305544522412</v>
      </c>
      <c r="L541">
        <v>3289.8365255120202</v>
      </c>
      <c r="M541">
        <v>49.384110421261397</v>
      </c>
      <c r="O541">
        <v>66.508342328752903</v>
      </c>
      <c r="P541">
        <v>8.5972956472907796E-3</v>
      </c>
      <c r="Q541">
        <v>1.0463137941770899</v>
      </c>
      <c r="R541">
        <v>-0.199188786792932</v>
      </c>
      <c r="S541" t="s">
        <v>2415</v>
      </c>
      <c r="T541" t="s">
        <v>3746</v>
      </c>
      <c r="U541" t="s">
        <v>3746</v>
      </c>
      <c r="V541" t="s">
        <v>3746</v>
      </c>
      <c r="W541" t="s">
        <v>4280</v>
      </c>
      <c r="X541">
        <v>8</v>
      </c>
      <c r="Y541" t="s">
        <v>6137</v>
      </c>
      <c r="Z541" t="s">
        <v>7929</v>
      </c>
      <c r="AA541">
        <v>1.0052943456508709</v>
      </c>
      <c r="AB541" t="str">
        <f>HYPERLINK("Melting_Curves/meltCurve_J3KMY5_NPC2.pdf", "Melting_Curves/meltCurve_J3KMY5_NPC2.pdf")</f>
        <v>Melting_Curves/meltCurve_J3KMY5_NPC2.pdf</v>
      </c>
    </row>
    <row r="542" spans="1:28" x14ac:dyDescent="0.25">
      <c r="A542" t="s">
        <v>546</v>
      </c>
      <c r="B542">
        <v>1</v>
      </c>
      <c r="C542">
        <v>1.3436025287151601</v>
      </c>
      <c r="D542">
        <v>1.86154394087793</v>
      </c>
      <c r="E542">
        <v>2.0091710444305901</v>
      </c>
      <c r="F542">
        <v>1.63084320185202</v>
      </c>
      <c r="G542">
        <v>2.1666815065443901</v>
      </c>
      <c r="H542">
        <v>1.2166325349479099</v>
      </c>
      <c r="I542">
        <v>2.0298281542160099</v>
      </c>
      <c r="J542">
        <v>1.73163565132223</v>
      </c>
      <c r="K542">
        <v>1.94123408423115</v>
      </c>
      <c r="L542">
        <v>1.0000000000000001E-5</v>
      </c>
      <c r="M542">
        <v>46.840723402688603</v>
      </c>
      <c r="Q542">
        <v>1.5</v>
      </c>
      <c r="R542">
        <v>-0.27373387129336202</v>
      </c>
      <c r="S542" t="s">
        <v>2416</v>
      </c>
      <c r="T542" t="s">
        <v>3746</v>
      </c>
      <c r="U542" t="s">
        <v>3746</v>
      </c>
      <c r="V542" t="s">
        <v>3746</v>
      </c>
      <c r="W542" t="s">
        <v>4281</v>
      </c>
      <c r="X542">
        <v>1</v>
      </c>
      <c r="Y542" t="s">
        <v>6138</v>
      </c>
      <c r="Z542" t="s">
        <v>7930</v>
      </c>
      <c r="AA542">
        <v>1.5</v>
      </c>
      <c r="AB542" t="str">
        <f>HYPERLINK("Melting_Curves/meltCurve_J3KMZ9_LDLR.pdf", "Melting_Curves/meltCurve_J3KMZ9_LDLR.pdf")</f>
        <v>Melting_Curves/meltCurve_J3KMZ9_LDLR.pdf</v>
      </c>
    </row>
    <row r="543" spans="1:28" x14ac:dyDescent="0.25">
      <c r="A543" t="s">
        <v>547</v>
      </c>
      <c r="B543">
        <v>1</v>
      </c>
      <c r="C543">
        <v>1.1135543966165899</v>
      </c>
      <c r="D543">
        <v>1.86074569938507</v>
      </c>
      <c r="E543">
        <v>2.35593264315923</v>
      </c>
      <c r="F543">
        <v>1.49671778106432</v>
      </c>
      <c r="G543">
        <v>1.5600269842505401</v>
      </c>
      <c r="H543">
        <v>1.03562439998962</v>
      </c>
      <c r="I543">
        <v>1.6907968137827201</v>
      </c>
      <c r="J543">
        <v>1.7415220155159401</v>
      </c>
      <c r="K543">
        <v>1.5711839339923701</v>
      </c>
      <c r="L543">
        <v>10777.539880062601</v>
      </c>
      <c r="M543">
        <v>250</v>
      </c>
      <c r="O543">
        <v>43.107400772365402</v>
      </c>
      <c r="P543">
        <v>0.72493352622962104</v>
      </c>
      <c r="Q543">
        <v>1.5</v>
      </c>
      <c r="R543">
        <v>0.243878857539431</v>
      </c>
      <c r="S543" t="s">
        <v>2417</v>
      </c>
      <c r="T543" t="s">
        <v>3746</v>
      </c>
      <c r="U543" t="s">
        <v>3746</v>
      </c>
      <c r="V543" t="s">
        <v>3746</v>
      </c>
      <c r="W543" t="s">
        <v>4282</v>
      </c>
      <c r="X543">
        <v>16</v>
      </c>
      <c r="Y543" t="s">
        <v>6139</v>
      </c>
      <c r="Z543" t="s">
        <v>7931</v>
      </c>
      <c r="AA543">
        <v>1.4481261791574429</v>
      </c>
      <c r="AB543" t="str">
        <f>HYPERLINK("Melting_Curves/meltCurve_J3KN08_MATN2.pdf", "Melting_Curves/meltCurve_J3KN08_MATN2.pdf")</f>
        <v>Melting_Curves/meltCurve_J3KN08_MATN2.pdf</v>
      </c>
    </row>
    <row r="544" spans="1:28" x14ac:dyDescent="0.25">
      <c r="A544" t="s">
        <v>548</v>
      </c>
      <c r="B544">
        <v>1</v>
      </c>
      <c r="C544">
        <v>1.1281095419026499</v>
      </c>
      <c r="D544">
        <v>1.4588859416445601</v>
      </c>
      <c r="E544">
        <v>2.5823356513011699</v>
      </c>
      <c r="F544">
        <v>2.1567854326474998</v>
      </c>
      <c r="G544">
        <v>2.58964800344111</v>
      </c>
      <c r="H544">
        <v>2.2577962577962598</v>
      </c>
      <c r="I544">
        <v>3.1473223887017001</v>
      </c>
      <c r="J544">
        <v>3.1840992185819799</v>
      </c>
      <c r="K544">
        <v>3.1192200157717398</v>
      </c>
      <c r="S544" t="s">
        <v>2418</v>
      </c>
      <c r="T544" t="s">
        <v>3746</v>
      </c>
      <c r="U544" t="s">
        <v>3747</v>
      </c>
      <c r="V544" t="s">
        <v>3746</v>
      </c>
      <c r="W544" t="s">
        <v>4283</v>
      </c>
      <c r="X544">
        <v>1</v>
      </c>
      <c r="Y544" t="s">
        <v>6140</v>
      </c>
      <c r="Z544" t="s">
        <v>7932</v>
      </c>
      <c r="AB544" t="str">
        <f>HYPERLINK("Melting_Curves/meltCurve_J3KN16_KIAA0368.pdf", "Melting_Curves/meltCurve_J3KN16_KIAA0368.pdf")</f>
        <v>Melting_Curves/meltCurve_J3KN16_KIAA0368.pdf</v>
      </c>
    </row>
    <row r="545" spans="1:28" x14ac:dyDescent="0.25">
      <c r="A545" t="s">
        <v>549</v>
      </c>
      <c r="B545">
        <v>1</v>
      </c>
      <c r="C545">
        <v>0.99630913489114403</v>
      </c>
      <c r="D545">
        <v>1.4282401057383001</v>
      </c>
      <c r="E545">
        <v>1.8413177385969699</v>
      </c>
      <c r="F545">
        <v>1.4192872640215499</v>
      </c>
      <c r="G545">
        <v>1.63602583605576</v>
      </c>
      <c r="H545">
        <v>0.94578418414424303</v>
      </c>
      <c r="I545">
        <v>1.52475124067932</v>
      </c>
      <c r="J545">
        <v>1.50340407491459</v>
      </c>
      <c r="K545">
        <v>1.3893363924287401</v>
      </c>
      <c r="L545">
        <v>11387.926189234</v>
      </c>
      <c r="M545">
        <v>250</v>
      </c>
      <c r="O545">
        <v>45.548809995064602</v>
      </c>
      <c r="P545">
        <v>0.63901390727926</v>
      </c>
      <c r="Q545">
        <v>1.4657009626501001</v>
      </c>
      <c r="R545">
        <v>0.43145234753922501</v>
      </c>
      <c r="S545" t="s">
        <v>2419</v>
      </c>
      <c r="T545" t="s">
        <v>3746</v>
      </c>
      <c r="U545" t="s">
        <v>3746</v>
      </c>
      <c r="V545" t="s">
        <v>3746</v>
      </c>
      <c r="W545" t="s">
        <v>4284</v>
      </c>
      <c r="X545">
        <v>7</v>
      </c>
      <c r="Y545" t="s">
        <v>6141</v>
      </c>
      <c r="Z545" t="s">
        <v>7933</v>
      </c>
      <c r="AA545">
        <v>1.3794825916804281</v>
      </c>
      <c r="AB545" t="str">
        <f>HYPERLINK("Melting_Curves/meltCurve_J3KN36_NOMO3.pdf", "Melting_Curves/meltCurve_J3KN36_NOMO3.pdf")</f>
        <v>Melting_Curves/meltCurve_J3KN36_NOMO3.pdf</v>
      </c>
    </row>
    <row r="546" spans="1:28" x14ac:dyDescent="0.25">
      <c r="A546" t="s">
        <v>550</v>
      </c>
      <c r="B546">
        <v>1</v>
      </c>
      <c r="C546">
        <v>1.0683655441940101</v>
      </c>
      <c r="D546">
        <v>1.6248193158091999</v>
      </c>
      <c r="E546">
        <v>2.2722486928279499</v>
      </c>
      <c r="F546">
        <v>1.6155218873244499</v>
      </c>
      <c r="G546">
        <v>1.87626032799757</v>
      </c>
      <c r="H546">
        <v>1.8434248799900099</v>
      </c>
      <c r="I546">
        <v>2.33078144797188</v>
      </c>
      <c r="J546">
        <v>2.3764655495476199</v>
      </c>
      <c r="K546">
        <v>2.2460160251262602</v>
      </c>
      <c r="L546">
        <v>10804.0520740593</v>
      </c>
      <c r="M546">
        <v>250</v>
      </c>
      <c r="O546">
        <v>43.2134427573613</v>
      </c>
      <c r="P546">
        <v>0.72315460308574997</v>
      </c>
      <c r="Q546">
        <v>1.5</v>
      </c>
      <c r="R546">
        <v>-0.27334695930594299</v>
      </c>
      <c r="S546" t="s">
        <v>2420</v>
      </c>
      <c r="T546" t="s">
        <v>3746</v>
      </c>
      <c r="U546" t="s">
        <v>3746</v>
      </c>
      <c r="V546" t="s">
        <v>3746</v>
      </c>
      <c r="W546" t="s">
        <v>4285</v>
      </c>
      <c r="X546">
        <v>10</v>
      </c>
      <c r="Y546" t="s">
        <v>6142</v>
      </c>
      <c r="Z546" t="s">
        <v>7934</v>
      </c>
      <c r="AA546">
        <v>1.446358606505</v>
      </c>
      <c r="AB546" t="str">
        <f>HYPERLINK("Melting_Curves/meltCurve_J3KNP4_SEMA4B.pdf", "Melting_Curves/meltCurve_J3KNP4_SEMA4B.pdf")</f>
        <v>Melting_Curves/meltCurve_J3KNP4_SEMA4B.pdf</v>
      </c>
    </row>
    <row r="547" spans="1:28" x14ac:dyDescent="0.25">
      <c r="A547" t="s">
        <v>551</v>
      </c>
      <c r="B547">
        <v>1</v>
      </c>
      <c r="C547">
        <v>1.2253590158310099</v>
      </c>
      <c r="D547">
        <v>1.62456501494878</v>
      </c>
      <c r="E547">
        <v>2.3959221683085801</v>
      </c>
      <c r="F547">
        <v>1.4341028280154899</v>
      </c>
      <c r="G547">
        <v>1.64809096701465</v>
      </c>
      <c r="H547">
        <v>1.1865902073224499</v>
      </c>
      <c r="I547">
        <v>2.2788315443807301</v>
      </c>
      <c r="J547">
        <v>2.2153604862030098</v>
      </c>
      <c r="K547">
        <v>2.33970494535117</v>
      </c>
      <c r="L547">
        <v>10733.4843263612</v>
      </c>
      <c r="M547">
        <v>250</v>
      </c>
      <c r="O547">
        <v>42.931189831081603</v>
      </c>
      <c r="P547">
        <v>0.727909013678397</v>
      </c>
      <c r="Q547">
        <v>1.5</v>
      </c>
      <c r="R547">
        <v>-8.9028202483000293E-2</v>
      </c>
      <c r="S547" t="s">
        <v>2421</v>
      </c>
      <c r="T547" t="s">
        <v>3746</v>
      </c>
      <c r="U547" t="s">
        <v>3746</v>
      </c>
      <c r="V547" t="s">
        <v>3746</v>
      </c>
      <c r="W547" t="s">
        <v>4286</v>
      </c>
      <c r="X547">
        <v>2</v>
      </c>
      <c r="Y547" t="s">
        <v>6143</v>
      </c>
      <c r="Z547" t="s">
        <v>7935</v>
      </c>
      <c r="AA547">
        <v>1.451063370686557</v>
      </c>
      <c r="AB547" t="str">
        <f>HYPERLINK("Melting_Curves/meltCurve_J3KNT0_FSCN1.pdf", "Melting_Curves/meltCurve_J3KNT0_FSCN1.pdf")</f>
        <v>Melting_Curves/meltCurve_J3KNT0_FSCN1.pdf</v>
      </c>
    </row>
    <row r="548" spans="1:28" x14ac:dyDescent="0.25">
      <c r="A548" t="s">
        <v>552</v>
      </c>
      <c r="B548">
        <v>1</v>
      </c>
      <c r="C548">
        <v>1.35667628390075</v>
      </c>
      <c r="D548">
        <v>1.42557414887478</v>
      </c>
      <c r="E548">
        <v>1.6515637622619701</v>
      </c>
      <c r="F548">
        <v>1.1665551067513</v>
      </c>
      <c r="G548">
        <v>1.8562723600692399</v>
      </c>
      <c r="H548">
        <v>0.56143104443162195</v>
      </c>
      <c r="I548">
        <v>1.1586843623773799</v>
      </c>
      <c r="J548">
        <v>0.82700519330640498</v>
      </c>
      <c r="K548">
        <v>0.95272937103289101</v>
      </c>
      <c r="L548">
        <v>2394.4074674122799</v>
      </c>
      <c r="M548">
        <v>39.694863375245298</v>
      </c>
      <c r="O548">
        <v>60.167852139170797</v>
      </c>
      <c r="P548">
        <v>-1.3740427367959E-2</v>
      </c>
      <c r="Q548">
        <v>0.9166914645823</v>
      </c>
      <c r="R548">
        <v>-0.26535674492440497</v>
      </c>
      <c r="S548" t="s">
        <v>2422</v>
      </c>
      <c r="T548" t="s">
        <v>3746</v>
      </c>
      <c r="U548" t="s">
        <v>3746</v>
      </c>
      <c r="V548" t="s">
        <v>3746</v>
      </c>
      <c r="W548" t="s">
        <v>4287</v>
      </c>
      <c r="X548">
        <v>1</v>
      </c>
      <c r="Y548" t="s">
        <v>6144</v>
      </c>
      <c r="Z548" t="s">
        <v>7936</v>
      </c>
      <c r="AA548">
        <v>0.97344797039816877</v>
      </c>
      <c r="AB548" t="str">
        <f>HYPERLINK("Melting_Curves/meltCurve_J3KPI3_KIAA1551.pdf", "Melting_Curves/meltCurve_J3KPI3_KIAA1551.pdf")</f>
        <v>Melting_Curves/meltCurve_J3KPI3_KIAA1551.pdf</v>
      </c>
    </row>
    <row r="549" spans="1:28" x14ac:dyDescent="0.25">
      <c r="A549" t="s">
        <v>553</v>
      </c>
      <c r="B549">
        <v>1</v>
      </c>
      <c r="C549">
        <v>1.09308966304969</v>
      </c>
      <c r="D549">
        <v>1.63416823039896</v>
      </c>
      <c r="E549">
        <v>1.79146610100351</v>
      </c>
      <c r="F549">
        <v>1.17724565554377</v>
      </c>
      <c r="G549">
        <v>1.52484294688749</v>
      </c>
      <c r="H549">
        <v>0.85795871746757002</v>
      </c>
      <c r="I549">
        <v>1.2299502325201901</v>
      </c>
      <c r="J549">
        <v>1.14640613526964</v>
      </c>
      <c r="K549">
        <v>1.2099208615485</v>
      </c>
      <c r="L549">
        <v>10763.5051383847</v>
      </c>
      <c r="M549">
        <v>250</v>
      </c>
      <c r="O549">
        <v>43.051265529288301</v>
      </c>
      <c r="P549">
        <v>0.46673258608218299</v>
      </c>
      <c r="Q549">
        <v>1.3214948544353</v>
      </c>
      <c r="R549">
        <v>0.162199704067887</v>
      </c>
      <c r="S549" t="s">
        <v>2423</v>
      </c>
      <c r="T549" t="s">
        <v>3746</v>
      </c>
      <c r="U549" t="s">
        <v>3746</v>
      </c>
      <c r="V549" t="s">
        <v>3746</v>
      </c>
      <c r="W549" t="s">
        <v>4288</v>
      </c>
      <c r="X549">
        <v>1</v>
      </c>
      <c r="Y549" t="s">
        <v>6145</v>
      </c>
      <c r="Z549" t="s">
        <v>7937</v>
      </c>
      <c r="AA549">
        <v>1.2887421661103411</v>
      </c>
      <c r="AB549" t="str">
        <f>HYPERLINK("Melting_Curves/meltCurve_J3KPL1_PNPLA8.pdf", "Melting_Curves/meltCurve_J3KPL1_PNPLA8.pdf")</f>
        <v>Melting_Curves/meltCurve_J3KPL1_PNPLA8.pdf</v>
      </c>
    </row>
    <row r="550" spans="1:28" x14ac:dyDescent="0.25">
      <c r="A550" t="s">
        <v>554</v>
      </c>
      <c r="B550">
        <v>1</v>
      </c>
      <c r="C550">
        <v>0.988186954288649</v>
      </c>
      <c r="D550">
        <v>1.4399931518575599</v>
      </c>
      <c r="E550">
        <v>1.9981167608286301</v>
      </c>
      <c r="F550">
        <v>1.7349768875192599</v>
      </c>
      <c r="G550">
        <v>2.5808936825886</v>
      </c>
      <c r="H550">
        <v>2.1577355475660598</v>
      </c>
      <c r="I550">
        <v>3.3444044969468698</v>
      </c>
      <c r="J550">
        <v>3.4523768761056899</v>
      </c>
      <c r="K550">
        <v>3.3535353535353498</v>
      </c>
      <c r="L550">
        <v>11408.354189980701</v>
      </c>
      <c r="M550">
        <v>250</v>
      </c>
      <c r="O550">
        <v>45.630500146207801</v>
      </c>
      <c r="P550">
        <v>0.68484900262215098</v>
      </c>
      <c r="Q550">
        <v>1.5</v>
      </c>
      <c r="R550">
        <v>-0.55012179313202103</v>
      </c>
      <c r="S550" t="s">
        <v>2424</v>
      </c>
      <c r="T550" t="s">
        <v>3746</v>
      </c>
      <c r="U550" t="s">
        <v>3746</v>
      </c>
      <c r="V550" t="s">
        <v>3746</v>
      </c>
      <c r="W550" t="s">
        <v>3775</v>
      </c>
      <c r="X550">
        <v>17</v>
      </c>
      <c r="Y550" t="s">
        <v>6146</v>
      </c>
      <c r="Z550" t="s">
        <v>7938</v>
      </c>
      <c r="AA550">
        <v>1.4060696776998529</v>
      </c>
      <c r="AB550" t="str">
        <f>HYPERLINK("Melting_Curves/meltCurve_J3KPS3_ALDOA.pdf", "Melting_Curves/meltCurve_J3KPS3_ALDOA.pdf")</f>
        <v>Melting_Curves/meltCurve_J3KPS3_ALDOA.pdf</v>
      </c>
    </row>
    <row r="551" spans="1:28" x14ac:dyDescent="0.25">
      <c r="A551" t="s">
        <v>555</v>
      </c>
      <c r="B551">
        <v>1</v>
      </c>
      <c r="C551">
        <v>1.01653963414634</v>
      </c>
      <c r="D551">
        <v>1.6511432926829299</v>
      </c>
      <c r="E551">
        <v>1.9796493902439001</v>
      </c>
      <c r="F551">
        <v>1.40449695121951</v>
      </c>
      <c r="G551">
        <v>1.70045731707317</v>
      </c>
      <c r="H551">
        <v>1.35121951219512</v>
      </c>
      <c r="I551">
        <v>2.6455792682926802</v>
      </c>
      <c r="J551">
        <v>2.9259908536585399</v>
      </c>
      <c r="K551">
        <v>2.8769054878048799</v>
      </c>
      <c r="L551">
        <v>10869.783298366099</v>
      </c>
      <c r="M551">
        <v>250</v>
      </c>
      <c r="O551">
        <v>43.476349135125197</v>
      </c>
      <c r="P551">
        <v>0.71878157776373997</v>
      </c>
      <c r="Q551">
        <v>1.5</v>
      </c>
      <c r="R551">
        <v>-0.16247040592200801</v>
      </c>
      <c r="S551" t="s">
        <v>2425</v>
      </c>
      <c r="T551" t="s">
        <v>3746</v>
      </c>
      <c r="U551" t="s">
        <v>3746</v>
      </c>
      <c r="V551" t="s">
        <v>3746</v>
      </c>
      <c r="W551" t="s">
        <v>4289</v>
      </c>
      <c r="X551">
        <v>2</v>
      </c>
      <c r="Y551" t="s">
        <v>6147</v>
      </c>
      <c r="Z551" t="s">
        <v>7939</v>
      </c>
      <c r="AA551">
        <v>1.4419762941736809</v>
      </c>
      <c r="AB551" t="str">
        <f>HYPERLINK("Melting_Curves/meltCurve_J3KQ32_OLA1.pdf", "Melting_Curves/meltCurve_J3KQ32_OLA1.pdf")</f>
        <v>Melting_Curves/meltCurve_J3KQ32_OLA1.pdf</v>
      </c>
    </row>
    <row r="552" spans="1:28" x14ac:dyDescent="0.25">
      <c r="A552" t="s">
        <v>556</v>
      </c>
      <c r="B552">
        <v>1</v>
      </c>
      <c r="C552">
        <v>1.1197859456414601</v>
      </c>
      <c r="D552">
        <v>1.2417969300098599</v>
      </c>
      <c r="E552">
        <v>1.5769609914096601</v>
      </c>
      <c r="F552">
        <v>0.75732995352767196</v>
      </c>
      <c r="G552">
        <v>0.400084495141529</v>
      </c>
      <c r="H552">
        <v>0.76927193353048895</v>
      </c>
      <c r="I552">
        <v>0.64205041543444596</v>
      </c>
      <c r="J552">
        <v>0.82168708632586995</v>
      </c>
      <c r="K552">
        <v>0.90978735389381804</v>
      </c>
      <c r="L552">
        <v>13164.949862823099</v>
      </c>
      <c r="M552">
        <v>250</v>
      </c>
      <c r="O552">
        <v>52.656429117051303</v>
      </c>
      <c r="P552">
        <v>-0.34590359704583901</v>
      </c>
      <c r="Q552">
        <v>0.70857522598868505</v>
      </c>
      <c r="R552">
        <v>0.43081933494847702</v>
      </c>
      <c r="S552" t="s">
        <v>2426</v>
      </c>
      <c r="T552" t="s">
        <v>3746</v>
      </c>
      <c r="U552" t="s">
        <v>3746</v>
      </c>
      <c r="V552" t="s">
        <v>3746</v>
      </c>
      <c r="W552" t="s">
        <v>4290</v>
      </c>
      <c r="X552">
        <v>5</v>
      </c>
      <c r="Y552" t="s">
        <v>6148</v>
      </c>
      <c r="Z552" t="s">
        <v>7940</v>
      </c>
      <c r="AA552">
        <v>0.83158146510017916</v>
      </c>
      <c r="AB552" t="str">
        <f>HYPERLINK("Melting_Curves/meltCurve_J3KQ45_TGOLN2.pdf", "Melting_Curves/meltCurve_J3KQ45_TGOLN2.pdf")</f>
        <v>Melting_Curves/meltCurve_J3KQ45_TGOLN2.pdf</v>
      </c>
    </row>
    <row r="553" spans="1:28" x14ac:dyDescent="0.25">
      <c r="A553" t="s">
        <v>557</v>
      </c>
      <c r="B553">
        <v>1</v>
      </c>
      <c r="C553">
        <v>0.82215466463993903</v>
      </c>
      <c r="D553">
        <v>1.08747171506054</v>
      </c>
      <c r="E553">
        <v>1.3565197865026899</v>
      </c>
      <c r="F553">
        <v>0.88359559877705396</v>
      </c>
      <c r="G553">
        <v>1.1614875718998801</v>
      </c>
      <c r="H553">
        <v>0.51919921234000699</v>
      </c>
      <c r="I553">
        <v>0.94189280223861205</v>
      </c>
      <c r="J553">
        <v>0.97267372566631505</v>
      </c>
      <c r="K553">
        <v>0.82327742559549499</v>
      </c>
      <c r="L553">
        <v>2950.2493330237699</v>
      </c>
      <c r="M553">
        <v>50.361738997676298</v>
      </c>
      <c r="O553">
        <v>58.489018682100301</v>
      </c>
      <c r="P553">
        <v>-3.7923929487920199E-2</v>
      </c>
      <c r="Q553">
        <v>0.82382406692966603</v>
      </c>
      <c r="R553">
        <v>0.207228573479735</v>
      </c>
      <c r="S553" t="s">
        <v>2427</v>
      </c>
      <c r="T553" t="s">
        <v>3746</v>
      </c>
      <c r="U553" t="s">
        <v>3746</v>
      </c>
      <c r="V553" t="s">
        <v>3746</v>
      </c>
      <c r="W553" t="s">
        <v>4291</v>
      </c>
      <c r="X553">
        <v>1</v>
      </c>
      <c r="Y553" t="s">
        <v>6149</v>
      </c>
      <c r="Z553" t="s">
        <v>7941</v>
      </c>
      <c r="AA553">
        <v>0.93338845574703366</v>
      </c>
      <c r="AB553" t="str">
        <f>HYPERLINK("Melting_Curves/meltCurve_J3KQ99_HLA_DPA1.pdf", "Melting_Curves/meltCurve_J3KQ99_HLA_DPA1.pdf")</f>
        <v>Melting_Curves/meltCurve_J3KQ99_HLA_DPA1.pdf</v>
      </c>
    </row>
    <row r="554" spans="1:28" x14ac:dyDescent="0.25">
      <c r="A554" t="s">
        <v>558</v>
      </c>
      <c r="B554">
        <v>1</v>
      </c>
      <c r="C554">
        <v>1.00710035700119</v>
      </c>
      <c r="D554">
        <v>1.60170567235224</v>
      </c>
      <c r="E554">
        <v>1.95180483934946</v>
      </c>
      <c r="F554">
        <v>1.4859976199920699</v>
      </c>
      <c r="G554">
        <v>1.5537485124950401</v>
      </c>
      <c r="H554">
        <v>1.00650535501785</v>
      </c>
      <c r="I554">
        <v>1.5258230860769499</v>
      </c>
      <c r="J554">
        <v>1.50436334787783</v>
      </c>
      <c r="K554">
        <v>1.4061086870289601</v>
      </c>
      <c r="L554">
        <v>10906.799180698799</v>
      </c>
      <c r="M554">
        <v>250</v>
      </c>
      <c r="O554">
        <v>43.624405442249</v>
      </c>
      <c r="P554">
        <v>0.71634215133804802</v>
      </c>
      <c r="Q554">
        <v>1.5</v>
      </c>
      <c r="R554">
        <v>0.46032051558269599</v>
      </c>
      <c r="S554" t="s">
        <v>2428</v>
      </c>
      <c r="T554" t="s">
        <v>3746</v>
      </c>
      <c r="U554" t="s">
        <v>3746</v>
      </c>
      <c r="V554" t="s">
        <v>3746</v>
      </c>
      <c r="W554" t="s">
        <v>4292</v>
      </c>
      <c r="X554">
        <v>5</v>
      </c>
      <c r="Y554" t="s">
        <v>6150</v>
      </c>
      <c r="Z554" t="s">
        <v>7942</v>
      </c>
      <c r="AA554">
        <v>1.4395084387607779</v>
      </c>
      <c r="AB554" t="str">
        <f>HYPERLINK("Melting_Curves/meltCurve_J3KR88_CORIN.pdf", "Melting_Curves/meltCurve_J3KR88_CORIN.pdf")</f>
        <v>Melting_Curves/meltCurve_J3KR88_CORIN.pdf</v>
      </c>
    </row>
    <row r="555" spans="1:28" x14ac:dyDescent="0.25">
      <c r="A555" t="s">
        <v>559</v>
      </c>
      <c r="B555">
        <v>1</v>
      </c>
      <c r="C555">
        <v>1.21261303037329</v>
      </c>
      <c r="D555">
        <v>1.9732149757654001</v>
      </c>
      <c r="E555">
        <v>2.7515926379826201</v>
      </c>
      <c r="F555">
        <v>1.64121758139843</v>
      </c>
      <c r="G555">
        <v>2.0852792774888802</v>
      </c>
      <c r="H555">
        <v>1.2378965033729701</v>
      </c>
      <c r="I555">
        <v>2.0086560012365702</v>
      </c>
      <c r="J555">
        <v>1.9379947666523101</v>
      </c>
      <c r="K555">
        <v>1.77900698883773</v>
      </c>
      <c r="L555">
        <v>10737.928126754199</v>
      </c>
      <c r="M555">
        <v>250</v>
      </c>
      <c r="O555">
        <v>42.948963841499399</v>
      </c>
      <c r="P555">
        <v>0.72760777471283899</v>
      </c>
      <c r="Q555">
        <v>1.5</v>
      </c>
      <c r="R555">
        <v>-0.149553280702343</v>
      </c>
      <c r="S555" t="s">
        <v>2429</v>
      </c>
      <c r="T555" t="s">
        <v>3746</v>
      </c>
      <c r="U555" t="s">
        <v>3746</v>
      </c>
      <c r="V555" t="s">
        <v>3746</v>
      </c>
      <c r="W555" t="s">
        <v>4293</v>
      </c>
      <c r="X555">
        <v>4</v>
      </c>
      <c r="Y555" t="s">
        <v>6151</v>
      </c>
      <c r="Z555" t="s">
        <v>7943</v>
      </c>
      <c r="AA555">
        <v>1.450767101732251</v>
      </c>
      <c r="AB555" t="str">
        <f>HYPERLINK("Melting_Curves/meltCurve_J3KRP0_CNDP1.pdf", "Melting_Curves/meltCurve_J3KRP0_CNDP1.pdf")</f>
        <v>Melting_Curves/meltCurve_J3KRP0_CNDP1.pdf</v>
      </c>
    </row>
    <row r="556" spans="1:28" x14ac:dyDescent="0.25">
      <c r="A556" t="s">
        <v>560</v>
      </c>
      <c r="B556">
        <v>1</v>
      </c>
      <c r="C556">
        <v>1.1696993115076599</v>
      </c>
      <c r="D556">
        <v>1.2492974567935899</v>
      </c>
      <c r="E556">
        <v>1.44966277926092</v>
      </c>
      <c r="F556">
        <v>0.99490656175354797</v>
      </c>
      <c r="G556">
        <v>0.78273851341857503</v>
      </c>
      <c r="H556">
        <v>0.68550653365182002</v>
      </c>
      <c r="I556">
        <v>1.02321905297176</v>
      </c>
      <c r="J556">
        <v>1.03326542082338</v>
      </c>
      <c r="K556">
        <v>0.98064493466348202</v>
      </c>
      <c r="L556">
        <v>13404.410701786301</v>
      </c>
      <c r="M556">
        <v>250</v>
      </c>
      <c r="O556">
        <v>53.614211930769102</v>
      </c>
      <c r="P556">
        <v>-0.115320518666771</v>
      </c>
      <c r="Q556">
        <v>0.90107490101988097</v>
      </c>
      <c r="R556">
        <v>8.26424688371767E-2</v>
      </c>
      <c r="S556" t="s">
        <v>2430</v>
      </c>
      <c r="T556" t="s">
        <v>3746</v>
      </c>
      <c r="U556" t="s">
        <v>3746</v>
      </c>
      <c r="V556" t="s">
        <v>3746</v>
      </c>
      <c r="W556" t="s">
        <v>4294</v>
      </c>
      <c r="X556">
        <v>2</v>
      </c>
      <c r="Y556" t="s">
        <v>6152</v>
      </c>
      <c r="Z556" t="s">
        <v>7944</v>
      </c>
      <c r="AA556">
        <v>0.94598843177233083</v>
      </c>
      <c r="AB556" t="str">
        <f>HYPERLINK("Melting_Curves/meltCurve_J3KSH8_HN1.pdf", "Melting_Curves/meltCurve_J3KSH8_HN1.pdf")</f>
        <v>Melting_Curves/meltCurve_J3KSH8_HN1.pdf</v>
      </c>
    </row>
    <row r="557" spans="1:28" x14ac:dyDescent="0.25">
      <c r="A557" t="s">
        <v>561</v>
      </c>
      <c r="B557">
        <v>1</v>
      </c>
      <c r="C557">
        <v>1.05825868864206</v>
      </c>
      <c r="D557">
        <v>1.5613758509494799</v>
      </c>
      <c r="E557">
        <v>1.7067717663919699</v>
      </c>
      <c r="F557">
        <v>0.902185596560373</v>
      </c>
      <c r="G557">
        <v>1.4194912217843101</v>
      </c>
      <c r="H557">
        <v>0.70384091723396602</v>
      </c>
      <c r="I557">
        <v>1.26248656395557</v>
      </c>
      <c r="J557">
        <v>1.17714080974561</v>
      </c>
      <c r="K557">
        <v>0.82357577929057701</v>
      </c>
      <c r="L557">
        <v>15000</v>
      </c>
      <c r="M557">
        <v>212.744827785979</v>
      </c>
      <c r="Q557">
        <v>0</v>
      </c>
      <c r="R557">
        <v>-0.23885459903337999</v>
      </c>
      <c r="S557" t="s">
        <v>2431</v>
      </c>
      <c r="T557" t="s">
        <v>3746</v>
      </c>
      <c r="U557" t="s">
        <v>3746</v>
      </c>
      <c r="V557" t="s">
        <v>3746</v>
      </c>
      <c r="W557" t="s">
        <v>4295</v>
      </c>
      <c r="X557">
        <v>2</v>
      </c>
      <c r="Y557" t="s">
        <v>6153</v>
      </c>
      <c r="Z557" t="s">
        <v>7945</v>
      </c>
      <c r="AA557">
        <v>0.99790711500831608</v>
      </c>
      <c r="AB557" t="str">
        <f>HYPERLINK("Melting_Curves/meltCurve_J3KSJ8_PPP1R1B.pdf", "Melting_Curves/meltCurve_J3KSJ8_PPP1R1B.pdf")</f>
        <v>Melting_Curves/meltCurve_J3KSJ8_PPP1R1B.pdf</v>
      </c>
    </row>
    <row r="558" spans="1:28" x14ac:dyDescent="0.25">
      <c r="A558" t="s">
        <v>562</v>
      </c>
      <c r="B558">
        <v>1</v>
      </c>
      <c r="C558">
        <v>1.0618578044129701</v>
      </c>
      <c r="D558">
        <v>1.4858076818305599</v>
      </c>
      <c r="E558">
        <v>2.22141105965677</v>
      </c>
      <c r="F558">
        <v>1.9861618087714501</v>
      </c>
      <c r="G558">
        <v>2.4142740397711799</v>
      </c>
      <c r="H558">
        <v>1.29174611822392</v>
      </c>
      <c r="I558">
        <v>2.9637700898937598</v>
      </c>
      <c r="J558">
        <v>3.06368836829202</v>
      </c>
      <c r="K558">
        <v>2.55232906564969</v>
      </c>
      <c r="S558" t="s">
        <v>2432</v>
      </c>
      <c r="T558" t="s">
        <v>3746</v>
      </c>
      <c r="U558" t="s">
        <v>3747</v>
      </c>
      <c r="V558" t="s">
        <v>3746</v>
      </c>
      <c r="W558" t="s">
        <v>4296</v>
      </c>
      <c r="X558">
        <v>2</v>
      </c>
      <c r="Y558" t="s">
        <v>6154</v>
      </c>
      <c r="Z558" t="s">
        <v>7946</v>
      </c>
      <c r="AB558" t="str">
        <f>HYPERLINK("Melting_Curves/meltCurve_J3KT79_SCRN2.pdf", "Melting_Curves/meltCurve_J3KT79_SCRN2.pdf")</f>
        <v>Melting_Curves/meltCurve_J3KT79_SCRN2.pdf</v>
      </c>
    </row>
    <row r="559" spans="1:28" x14ac:dyDescent="0.25">
      <c r="A559" t="s">
        <v>563</v>
      </c>
      <c r="B559">
        <v>1</v>
      </c>
      <c r="C559">
        <v>1.0636046445118099</v>
      </c>
      <c r="D559">
        <v>1.77875650632043</v>
      </c>
      <c r="E559">
        <v>2.3370130984384798</v>
      </c>
      <c r="F559">
        <v>1.61814333924384</v>
      </c>
      <c r="G559">
        <v>2.1145684379111098</v>
      </c>
      <c r="H559">
        <v>1.4770920322599099</v>
      </c>
      <c r="I559">
        <v>2.1841217182405801</v>
      </c>
      <c r="J559">
        <v>2.2609963964994599</v>
      </c>
      <c r="K559">
        <v>2.0926614425441898</v>
      </c>
      <c r="L559">
        <v>10807.6189657595</v>
      </c>
      <c r="M559">
        <v>250</v>
      </c>
      <c r="O559">
        <v>43.227716738638399</v>
      </c>
      <c r="P559">
        <v>0.72291593648663</v>
      </c>
      <c r="Q559">
        <v>1.5</v>
      </c>
      <c r="R559">
        <v>-0.19337958628676999</v>
      </c>
      <c r="S559" t="s">
        <v>2433</v>
      </c>
      <c r="T559" t="s">
        <v>3746</v>
      </c>
      <c r="U559" t="s">
        <v>3746</v>
      </c>
      <c r="V559" t="s">
        <v>3746</v>
      </c>
      <c r="W559" t="s">
        <v>4297</v>
      </c>
      <c r="X559">
        <v>5</v>
      </c>
      <c r="Y559" t="s">
        <v>6155</v>
      </c>
      <c r="Z559" t="s">
        <v>7947</v>
      </c>
      <c r="AA559">
        <v>1.4461208012056981</v>
      </c>
      <c r="AB559" t="str">
        <f>HYPERLINK("Melting_Curves/meltCurve_J3KTF8_ARHGDIA.pdf", "Melting_Curves/meltCurve_J3KTF8_ARHGDIA.pdf")</f>
        <v>Melting_Curves/meltCurve_J3KTF8_ARHGDIA.pdf</v>
      </c>
    </row>
    <row r="560" spans="1:28" x14ac:dyDescent="0.25">
      <c r="A560" t="s">
        <v>564</v>
      </c>
      <c r="B560">
        <v>1</v>
      </c>
      <c r="C560">
        <v>1.0650810245687401</v>
      </c>
      <c r="D560">
        <v>1.49674293296876</v>
      </c>
      <c r="E560">
        <v>1.58701596364952</v>
      </c>
      <c r="F560">
        <v>1.1970726607422899</v>
      </c>
      <c r="G560">
        <v>1.3335880011259</v>
      </c>
      <c r="H560">
        <v>0.82168563271542905</v>
      </c>
      <c r="I560">
        <v>1.2107443001327001</v>
      </c>
      <c r="J560">
        <v>1.08247215408742</v>
      </c>
      <c r="K560">
        <v>1.0334150950983201</v>
      </c>
      <c r="L560">
        <v>10762.3003496359</v>
      </c>
      <c r="M560">
        <v>250</v>
      </c>
      <c r="O560">
        <v>43.046446633077302</v>
      </c>
      <c r="P560">
        <v>0.31991910016991998</v>
      </c>
      <c r="Q560">
        <v>1.2203420867985699</v>
      </c>
      <c r="R560">
        <v>0.118106083118118</v>
      </c>
      <c r="S560" t="s">
        <v>2434</v>
      </c>
      <c r="T560" t="s">
        <v>3746</v>
      </c>
      <c r="U560" t="s">
        <v>3746</v>
      </c>
      <c r="V560" t="s">
        <v>3746</v>
      </c>
      <c r="W560" t="s">
        <v>4298</v>
      </c>
      <c r="X560">
        <v>1</v>
      </c>
      <c r="Y560" t="s">
        <v>6156</v>
      </c>
      <c r="Z560" t="s">
        <v>7948</v>
      </c>
      <c r="AA560">
        <v>1.1979298598245449</v>
      </c>
      <c r="AB560" t="str">
        <f>HYPERLINK("Melting_Curves/meltCurve_J3KTI2_MIEN1.pdf", "Melting_Curves/meltCurve_J3KTI2_MIEN1.pdf")</f>
        <v>Melting_Curves/meltCurve_J3KTI2_MIEN1.pdf</v>
      </c>
    </row>
    <row r="561" spans="1:28" x14ac:dyDescent="0.25">
      <c r="A561" t="s">
        <v>565</v>
      </c>
      <c r="B561">
        <v>1</v>
      </c>
      <c r="C561">
        <v>1.09919021181796</v>
      </c>
      <c r="D561">
        <v>1.70773365394816</v>
      </c>
      <c r="E561">
        <v>2.39120902436437</v>
      </c>
      <c r="F561">
        <v>1.6645567382156401</v>
      </c>
      <c r="G561">
        <v>1.8393153930478401</v>
      </c>
      <c r="H561">
        <v>1.1803458396690101</v>
      </c>
      <c r="I561">
        <v>1.72244421655646</v>
      </c>
      <c r="J561">
        <v>1.5644824781640101</v>
      </c>
      <c r="K561">
        <v>1.6054669542770299</v>
      </c>
      <c r="L561">
        <v>10784.907486951401</v>
      </c>
      <c r="M561">
        <v>250</v>
      </c>
      <c r="O561">
        <v>43.136869306946501</v>
      </c>
      <c r="P561">
        <v>0.72443829479177602</v>
      </c>
      <c r="Q561">
        <v>1.5</v>
      </c>
      <c r="R561">
        <v>0.23418943452778801</v>
      </c>
      <c r="S561" t="s">
        <v>2435</v>
      </c>
      <c r="T561" t="s">
        <v>3746</v>
      </c>
      <c r="U561" t="s">
        <v>3746</v>
      </c>
      <c r="V561" t="s">
        <v>3746</v>
      </c>
      <c r="W561" t="s">
        <v>4299</v>
      </c>
      <c r="X561">
        <v>1</v>
      </c>
      <c r="Y561" t="s">
        <v>6157</v>
      </c>
      <c r="Z561" t="s">
        <v>7949</v>
      </c>
      <c r="AA561">
        <v>1.447634979506262</v>
      </c>
      <c r="AB561" t="str">
        <f>HYPERLINK("Melting_Curves/meltCurve_J3KTJ1_MYL12A.pdf", "Melting_Curves/meltCurve_J3KTJ1_MYL12A.pdf")</f>
        <v>Melting_Curves/meltCurve_J3KTJ1_MYL12A.pdf</v>
      </c>
    </row>
    <row r="562" spans="1:28" x14ac:dyDescent="0.25">
      <c r="A562" t="s">
        <v>566</v>
      </c>
      <c r="B562">
        <v>1</v>
      </c>
      <c r="C562">
        <v>1.0489268939952401</v>
      </c>
      <c r="D562">
        <v>1.59891741612081</v>
      </c>
      <c r="E562">
        <v>2.0451146822805901</v>
      </c>
      <c r="F562">
        <v>1.58817582510162</v>
      </c>
      <c r="G562">
        <v>1.8543987868320699</v>
      </c>
      <c r="H562">
        <v>0.931201162619263</v>
      </c>
      <c r="I562">
        <v>1.6506244866151401</v>
      </c>
      <c r="J562">
        <v>1.57027317340298</v>
      </c>
      <c r="K562">
        <v>1.44958823901093</v>
      </c>
      <c r="L562">
        <v>10820.2934798469</v>
      </c>
      <c r="M562">
        <v>250</v>
      </c>
      <c r="O562">
        <v>43.278404455574403</v>
      </c>
      <c r="P562">
        <v>0.72206913831704</v>
      </c>
      <c r="Q562">
        <v>1.5</v>
      </c>
      <c r="R562">
        <v>0.35996506261692002</v>
      </c>
      <c r="S562" t="s">
        <v>2436</v>
      </c>
      <c r="T562" t="s">
        <v>3746</v>
      </c>
      <c r="U562" t="s">
        <v>3746</v>
      </c>
      <c r="V562" t="s">
        <v>3746</v>
      </c>
      <c r="W562" t="s">
        <v>4300</v>
      </c>
      <c r="X562">
        <v>3</v>
      </c>
      <c r="Y562" t="s">
        <v>6158</v>
      </c>
      <c r="Z562" t="s">
        <v>7950</v>
      </c>
      <c r="AA562">
        <v>1.4452757891138599</v>
      </c>
      <c r="AB562" t="str">
        <f>HYPERLINK("Melting_Curves/meltCurve_J3QK90_NSFL1C.pdf", "Melting_Curves/meltCurve_J3QK90_NSFL1C.pdf")</f>
        <v>Melting_Curves/meltCurve_J3QK90_NSFL1C.pdf</v>
      </c>
    </row>
    <row r="563" spans="1:28" x14ac:dyDescent="0.25">
      <c r="A563" t="s">
        <v>567</v>
      </c>
      <c r="B563">
        <v>1</v>
      </c>
      <c r="C563">
        <v>1.00349710882587</v>
      </c>
      <c r="D563">
        <v>2.54741871818843</v>
      </c>
      <c r="E563">
        <v>2.5377583878674601</v>
      </c>
      <c r="F563">
        <v>0.92891520376718295</v>
      </c>
      <c r="G563">
        <v>1.64911187285759</v>
      </c>
      <c r="H563">
        <v>1.7948478238288099</v>
      </c>
      <c r="I563">
        <v>1.6570755860254101</v>
      </c>
      <c r="J563">
        <v>1.7134448253176799</v>
      </c>
      <c r="K563">
        <v>1.693812541117</v>
      </c>
      <c r="L563">
        <v>10931.5712131738</v>
      </c>
      <c r="M563">
        <v>250</v>
      </c>
      <c r="O563">
        <v>43.723486609855897</v>
      </c>
      <c r="P563">
        <v>0.71471884845962197</v>
      </c>
      <c r="Q563">
        <v>1.5</v>
      </c>
      <c r="R563">
        <v>8.8458630773535704E-2</v>
      </c>
      <c r="S563" t="s">
        <v>2437</v>
      </c>
      <c r="T563" t="s">
        <v>3746</v>
      </c>
      <c r="U563" t="s">
        <v>3746</v>
      </c>
      <c r="V563" t="s">
        <v>3746</v>
      </c>
      <c r="W563" t="s">
        <v>4301</v>
      </c>
      <c r="X563">
        <v>1</v>
      </c>
      <c r="Y563" t="s">
        <v>6159</v>
      </c>
      <c r="Z563" t="s">
        <v>7951</v>
      </c>
      <c r="AA563">
        <v>1.4378568829802001</v>
      </c>
      <c r="AB563" t="str">
        <f>HYPERLINK("Melting_Curves/meltCurve_J3QKL6_TRAPPC8.pdf", "Melting_Curves/meltCurve_J3QKL6_TRAPPC8.pdf")</f>
        <v>Melting_Curves/meltCurve_J3QKL6_TRAPPC8.pdf</v>
      </c>
    </row>
    <row r="564" spans="1:28" x14ac:dyDescent="0.25">
      <c r="A564" t="s">
        <v>568</v>
      </c>
      <c r="B564">
        <v>1</v>
      </c>
      <c r="C564">
        <v>1.15767085356555</v>
      </c>
      <c r="D564">
        <v>1.2461976804847701</v>
      </c>
      <c r="E564">
        <v>1.57566515510253</v>
      </c>
      <c r="F564">
        <v>1.2273767005096501</v>
      </c>
      <c r="G564">
        <v>1.0884465668766801</v>
      </c>
      <c r="H564">
        <v>0.90332677876319301</v>
      </c>
      <c r="I564">
        <v>1.1988442553874601</v>
      </c>
      <c r="J564">
        <v>1.42834784702436</v>
      </c>
      <c r="K564">
        <v>1.2612063084393399</v>
      </c>
      <c r="S564" t="s">
        <v>2438</v>
      </c>
      <c r="T564" t="s">
        <v>3746</v>
      </c>
      <c r="U564" t="s">
        <v>3747</v>
      </c>
      <c r="V564" t="s">
        <v>3746</v>
      </c>
      <c r="W564" t="s">
        <v>4302</v>
      </c>
      <c r="X564">
        <v>1</v>
      </c>
      <c r="Y564" t="s">
        <v>6160</v>
      </c>
      <c r="Z564" t="s">
        <v>7952</v>
      </c>
      <c r="AB564" t="str">
        <f>HYPERLINK("Melting_Curves/meltCurve_J3QKW8_CLUL1.pdf", "Melting_Curves/meltCurve_J3QKW8_CLUL1.pdf")</f>
        <v>Melting_Curves/meltCurve_J3QKW8_CLUL1.pdf</v>
      </c>
    </row>
    <row r="565" spans="1:28" x14ac:dyDescent="0.25">
      <c r="A565" t="s">
        <v>569</v>
      </c>
      <c r="B565">
        <v>1</v>
      </c>
      <c r="C565">
        <v>1.10564090157655</v>
      </c>
      <c r="D565">
        <v>1.3295028426273101</v>
      </c>
      <c r="E565">
        <v>1.69618160558042</v>
      </c>
      <c r="F565">
        <v>1.3424861900729801</v>
      </c>
      <c r="G565">
        <v>1.57288012580138</v>
      </c>
      <c r="H565">
        <v>1.01616870287488</v>
      </c>
      <c r="I565">
        <v>1.4977218660537901</v>
      </c>
      <c r="J565">
        <v>1.6785210273779301</v>
      </c>
      <c r="K565">
        <v>1.40554816338051</v>
      </c>
      <c r="L565">
        <v>1786.3846392083899</v>
      </c>
      <c r="M565">
        <v>40.197162398667601</v>
      </c>
      <c r="O565">
        <v>44.331007494887601</v>
      </c>
      <c r="P565">
        <v>0.103297999767023</v>
      </c>
      <c r="Q565">
        <v>1.4556833764482999</v>
      </c>
      <c r="R565">
        <v>0.43582002841470402</v>
      </c>
      <c r="S565" t="s">
        <v>2439</v>
      </c>
      <c r="T565" t="s">
        <v>3746</v>
      </c>
      <c r="U565" t="s">
        <v>3746</v>
      </c>
      <c r="V565" t="s">
        <v>3746</v>
      </c>
      <c r="W565" t="s">
        <v>4303</v>
      </c>
      <c r="X565">
        <v>2</v>
      </c>
      <c r="Y565" t="s">
        <v>6161</v>
      </c>
      <c r="Z565" t="s">
        <v>7953</v>
      </c>
      <c r="AA565">
        <v>1.3866978417473881</v>
      </c>
      <c r="AB565" t="str">
        <f>HYPERLINK("Melting_Curves/meltCurve_J3QL81_ENOSF1.pdf", "Melting_Curves/meltCurve_J3QL81_ENOSF1.pdf")</f>
        <v>Melting_Curves/meltCurve_J3QL81_ENOSF1.pdf</v>
      </c>
    </row>
    <row r="566" spans="1:28" x14ac:dyDescent="0.25">
      <c r="A566" t="s">
        <v>570</v>
      </c>
      <c r="B566">
        <v>1</v>
      </c>
      <c r="C566">
        <v>1.0961572993356099</v>
      </c>
      <c r="D566">
        <v>1.8837762614472999</v>
      </c>
      <c r="E566">
        <v>1.8469204525049401</v>
      </c>
      <c r="F566">
        <v>1.45982223020291</v>
      </c>
      <c r="G566">
        <v>1.47777877536362</v>
      </c>
      <c r="H566">
        <v>1.0215029628299499</v>
      </c>
      <c r="I566">
        <v>1.48002334350871</v>
      </c>
      <c r="J566">
        <v>1.54825821511941</v>
      </c>
      <c r="K566">
        <v>1.39683964805171</v>
      </c>
      <c r="L566">
        <v>10786.562984745</v>
      </c>
      <c r="M566">
        <v>250</v>
      </c>
      <c r="O566">
        <v>43.143495947574699</v>
      </c>
      <c r="P566">
        <v>0.72432710945042</v>
      </c>
      <c r="Q566">
        <v>1.5</v>
      </c>
      <c r="R566">
        <v>0.40658150385140401</v>
      </c>
      <c r="S566" t="s">
        <v>2440</v>
      </c>
      <c r="T566" t="s">
        <v>3746</v>
      </c>
      <c r="U566" t="s">
        <v>3746</v>
      </c>
      <c r="V566" t="s">
        <v>3746</v>
      </c>
      <c r="W566" t="s">
        <v>4304</v>
      </c>
      <c r="X566">
        <v>1</v>
      </c>
      <c r="Y566" t="s">
        <v>6162</v>
      </c>
      <c r="Z566" t="s">
        <v>7954</v>
      </c>
      <c r="AA566">
        <v>1.4475246071762651</v>
      </c>
      <c r="AB566" t="str">
        <f>HYPERLINK("Melting_Curves/meltCurve_J3QLM9_DNAH9.pdf", "Melting_Curves/meltCurve_J3QLM9_DNAH9.pdf")</f>
        <v>Melting_Curves/meltCurve_J3QLM9_DNAH9.pdf</v>
      </c>
    </row>
    <row r="567" spans="1:28" x14ac:dyDescent="0.25">
      <c r="A567" t="s">
        <v>571</v>
      </c>
      <c r="B567">
        <v>1</v>
      </c>
      <c r="C567">
        <v>0.90818435001347597</v>
      </c>
      <c r="D567">
        <v>1.11229898481718</v>
      </c>
      <c r="E567">
        <v>1.44218848261612</v>
      </c>
      <c r="F567">
        <v>1.05677836672356</v>
      </c>
      <c r="G567">
        <v>1.6570838199622699</v>
      </c>
      <c r="H567">
        <v>1.0543527086515101</v>
      </c>
      <c r="I567">
        <v>1.4942053723834301</v>
      </c>
      <c r="J567">
        <v>1.3735513430958599</v>
      </c>
      <c r="K567">
        <v>1.18300242565807</v>
      </c>
      <c r="L567">
        <v>11528.951733893</v>
      </c>
      <c r="M567">
        <v>250</v>
      </c>
      <c r="O567">
        <v>46.112857122627503</v>
      </c>
      <c r="P567">
        <v>0.43781610852575198</v>
      </c>
      <c r="Q567">
        <v>1.32302321710393</v>
      </c>
      <c r="R567">
        <v>0.403543650348343</v>
      </c>
      <c r="S567" t="s">
        <v>2441</v>
      </c>
      <c r="T567" t="s">
        <v>3746</v>
      </c>
      <c r="U567" t="s">
        <v>3746</v>
      </c>
      <c r="V567" t="s">
        <v>3746</v>
      </c>
      <c r="W567" t="s">
        <v>4305</v>
      </c>
      <c r="X567">
        <v>1</v>
      </c>
      <c r="Y567" t="s">
        <v>6163</v>
      </c>
      <c r="Z567" t="s">
        <v>7955</v>
      </c>
      <c r="AA567">
        <v>1.2571454863026701</v>
      </c>
      <c r="AB567" t="str">
        <f>HYPERLINK("Melting_Curves/meltCurve_J3QQT2_RPL17.pdf", "Melting_Curves/meltCurve_J3QQT2_RPL17.pdf")</f>
        <v>Melting_Curves/meltCurve_J3QQT2_RPL17.pdf</v>
      </c>
    </row>
    <row r="568" spans="1:28" x14ac:dyDescent="0.25">
      <c r="A568" t="s">
        <v>572</v>
      </c>
      <c r="B568">
        <v>1</v>
      </c>
      <c r="C568">
        <v>1.4187250272430101</v>
      </c>
      <c r="D568">
        <v>1.89366146022521</v>
      </c>
      <c r="E568">
        <v>2.5164366146022501</v>
      </c>
      <c r="F568">
        <v>2.0292408281874299</v>
      </c>
      <c r="G568">
        <v>2.7702506356701799</v>
      </c>
      <c r="H568">
        <v>1.0994369778423501</v>
      </c>
      <c r="I568">
        <v>1.85824555030875</v>
      </c>
      <c r="J568">
        <v>1.51480203414457</v>
      </c>
      <c r="K568">
        <v>1.59126407555394</v>
      </c>
      <c r="L568">
        <v>1.0000000000000001E-5</v>
      </c>
      <c r="M568">
        <v>25.2981924771378</v>
      </c>
      <c r="Q568">
        <v>1.5</v>
      </c>
      <c r="R568">
        <v>-0.24896189358095999</v>
      </c>
      <c r="S568" t="s">
        <v>2442</v>
      </c>
      <c r="T568" t="s">
        <v>3746</v>
      </c>
      <c r="U568" t="s">
        <v>3746</v>
      </c>
      <c r="V568" t="s">
        <v>3746</v>
      </c>
      <c r="W568" t="s">
        <v>4306</v>
      </c>
      <c r="X568">
        <v>1</v>
      </c>
      <c r="Y568" t="s">
        <v>6164</v>
      </c>
      <c r="Z568" t="s">
        <v>7956</v>
      </c>
      <c r="AA568">
        <v>1.4999999999948459</v>
      </c>
      <c r="AB568" t="str">
        <f>HYPERLINK("Melting_Curves/meltCurve_J3QS03_TWSG1.pdf", "Melting_Curves/meltCurve_J3QS03_TWSG1.pdf")</f>
        <v>Melting_Curves/meltCurve_J3QS03_TWSG1.pdf</v>
      </c>
    </row>
    <row r="569" spans="1:28" x14ac:dyDescent="0.25">
      <c r="A569" t="s">
        <v>573</v>
      </c>
      <c r="B569">
        <v>1</v>
      </c>
      <c r="C569">
        <v>1.26688695806104</v>
      </c>
      <c r="D569">
        <v>2.0017997020165499</v>
      </c>
      <c r="E569">
        <v>2.6957175942999601</v>
      </c>
      <c r="F569">
        <v>2.1994718907197299</v>
      </c>
      <c r="G569">
        <v>2.7610674298190001</v>
      </c>
      <c r="H569">
        <v>1.7033737036982399</v>
      </c>
      <c r="I569">
        <v>3.3853575063800898</v>
      </c>
      <c r="J569">
        <v>2.9003230612636299</v>
      </c>
      <c r="K569">
        <v>2.9386773665343902</v>
      </c>
      <c r="L569">
        <v>10719.195529701599</v>
      </c>
      <c r="M569">
        <v>250</v>
      </c>
      <c r="O569">
        <v>42.874038303392602</v>
      </c>
      <c r="P569">
        <v>0.72887932379675602</v>
      </c>
      <c r="Q569">
        <v>1.5</v>
      </c>
      <c r="R569">
        <v>-1.06089667253769</v>
      </c>
      <c r="S569" t="s">
        <v>2443</v>
      </c>
      <c r="T569" t="s">
        <v>3746</v>
      </c>
      <c r="U569" t="s">
        <v>3746</v>
      </c>
      <c r="V569" t="s">
        <v>3746</v>
      </c>
      <c r="W569" t="s">
        <v>4307</v>
      </c>
      <c r="X569">
        <v>5</v>
      </c>
      <c r="Y569" t="s">
        <v>6165</v>
      </c>
      <c r="Z569" t="s">
        <v>7957</v>
      </c>
      <c r="AA569">
        <v>1.4520160072721999</v>
      </c>
      <c r="AB569" t="str">
        <f>HYPERLINK("Melting_Curves/meltCurve_J3QS45_DCXR.pdf", "Melting_Curves/meltCurve_J3QS45_DCXR.pdf")</f>
        <v>Melting_Curves/meltCurve_J3QS45_DCXR.pdf</v>
      </c>
    </row>
    <row r="570" spans="1:28" x14ac:dyDescent="0.25">
      <c r="A570" t="s">
        <v>574</v>
      </c>
      <c r="B570">
        <v>1</v>
      </c>
      <c r="C570">
        <v>1.1115595379146901</v>
      </c>
      <c r="D570">
        <v>1.1245556872037901</v>
      </c>
      <c r="E570">
        <v>1.5951569905213301</v>
      </c>
      <c r="F570">
        <v>1.41613595971564</v>
      </c>
      <c r="G570">
        <v>1.5803095379146901</v>
      </c>
      <c r="H570">
        <v>1.4850414691943099</v>
      </c>
      <c r="I570">
        <v>1.71978672985782</v>
      </c>
      <c r="J570">
        <v>1.58541913507109</v>
      </c>
      <c r="K570">
        <v>1.44142476303318</v>
      </c>
      <c r="L570">
        <v>11550.7544310793</v>
      </c>
      <c r="M570">
        <v>250</v>
      </c>
      <c r="O570">
        <v>46.200076561467498</v>
      </c>
      <c r="P570">
        <v>0.67640603236640695</v>
      </c>
      <c r="Q570">
        <v>1.5</v>
      </c>
      <c r="R570">
        <v>0.82390351864834199</v>
      </c>
      <c r="S570" t="s">
        <v>2444</v>
      </c>
      <c r="T570" t="s">
        <v>3746</v>
      </c>
      <c r="U570" t="s">
        <v>3746</v>
      </c>
      <c r="V570" t="s">
        <v>3746</v>
      </c>
      <c r="W570" t="s">
        <v>4308</v>
      </c>
      <c r="X570">
        <v>1</v>
      </c>
      <c r="Y570" t="s">
        <v>6166</v>
      </c>
      <c r="Z570" t="s">
        <v>7958</v>
      </c>
      <c r="AA570">
        <v>1.396575828472866</v>
      </c>
      <c r="AB570" t="str">
        <f>HYPERLINK("Melting_Curves/meltCurve_J3QSB4_RPL13.pdf", "Melting_Curves/meltCurve_J3QSB4_RPL13.pdf")</f>
        <v>Melting_Curves/meltCurve_J3QSB4_RPL13.pdf</v>
      </c>
    </row>
    <row r="571" spans="1:28" x14ac:dyDescent="0.25">
      <c r="A571" t="s">
        <v>575</v>
      </c>
      <c r="B571">
        <v>1</v>
      </c>
      <c r="C571">
        <v>0.97426298549368295</v>
      </c>
      <c r="D571">
        <v>1.5682940778869701</v>
      </c>
      <c r="E571">
        <v>1.9727031664326899</v>
      </c>
      <c r="F571">
        <v>1.6755056413456</v>
      </c>
      <c r="G571">
        <v>1.9052149950605699</v>
      </c>
      <c r="H571">
        <v>0.71871262933499702</v>
      </c>
      <c r="I571">
        <v>1.6051058077263001</v>
      </c>
      <c r="J571">
        <v>1.67217802734883</v>
      </c>
      <c r="K571">
        <v>1.4733530910414401</v>
      </c>
      <c r="L571">
        <v>11078.959617238501</v>
      </c>
      <c r="M571">
        <v>250</v>
      </c>
      <c r="O571">
        <v>44.313002562123899</v>
      </c>
      <c r="P571">
        <v>0.70521062078585195</v>
      </c>
      <c r="Q571">
        <v>1.5</v>
      </c>
      <c r="R571">
        <v>0.32028504151278098</v>
      </c>
      <c r="S571" t="s">
        <v>2445</v>
      </c>
      <c r="T571" t="s">
        <v>3746</v>
      </c>
      <c r="U571" t="s">
        <v>3746</v>
      </c>
      <c r="V571" t="s">
        <v>3746</v>
      </c>
      <c r="W571" t="s">
        <v>4309</v>
      </c>
      <c r="X571">
        <v>3</v>
      </c>
      <c r="Y571" t="s">
        <v>6167</v>
      </c>
      <c r="Z571" t="s">
        <v>7959</v>
      </c>
      <c r="AA571">
        <v>1.428030472047358</v>
      </c>
      <c r="AB571" t="str">
        <f>HYPERLINK("Melting_Curves/meltCurve_J3QSE5_LCAT.pdf", "Melting_Curves/meltCurve_J3QSE5_LCAT.pdf")</f>
        <v>Melting_Curves/meltCurve_J3QSE5_LCAT.pdf</v>
      </c>
    </row>
    <row r="572" spans="1:28" x14ac:dyDescent="0.25">
      <c r="A572" t="s">
        <v>576</v>
      </c>
      <c r="B572">
        <v>1</v>
      </c>
      <c r="C572">
        <v>0.76281028368794301</v>
      </c>
      <c r="D572">
        <v>1.05093085106383</v>
      </c>
      <c r="E572">
        <v>1.4720301418439701</v>
      </c>
      <c r="F572">
        <v>0.633732269503546</v>
      </c>
      <c r="G572">
        <v>0.77887854609929097</v>
      </c>
      <c r="H572">
        <v>0.388962765957447</v>
      </c>
      <c r="I572">
        <v>0.85640514184397198</v>
      </c>
      <c r="J572">
        <v>0.76589095744680802</v>
      </c>
      <c r="K572">
        <v>0.537898936170213</v>
      </c>
      <c r="L572">
        <v>12938.992016198399</v>
      </c>
      <c r="M572">
        <v>250</v>
      </c>
      <c r="O572">
        <v>51.752643449763198</v>
      </c>
      <c r="P572">
        <v>-0.41041365804395002</v>
      </c>
      <c r="Q572">
        <v>0.66016005011345602</v>
      </c>
      <c r="R572">
        <v>0.46977762946354601</v>
      </c>
      <c r="S572" t="s">
        <v>2446</v>
      </c>
      <c r="T572" t="s">
        <v>3746</v>
      </c>
      <c r="U572" t="s">
        <v>3746</v>
      </c>
      <c r="V572" t="s">
        <v>3746</v>
      </c>
      <c r="W572" t="s">
        <v>4310</v>
      </c>
      <c r="X572">
        <v>2</v>
      </c>
      <c r="Y572" t="s">
        <v>6168</v>
      </c>
      <c r="Z572" t="s">
        <v>7960</v>
      </c>
      <c r="AA572">
        <v>0.79336250468847391</v>
      </c>
      <c r="AB572" t="str">
        <f>HYPERLINK("Melting_Curves/meltCurve_J9JIE0_GPRC5C.pdf", "Melting_Curves/meltCurve_J9JIE0_GPRC5C.pdf")</f>
        <v>Melting_Curves/meltCurve_J9JIE0_GPRC5C.pdf</v>
      </c>
    </row>
    <row r="573" spans="1:28" x14ac:dyDescent="0.25">
      <c r="A573" t="s">
        <v>577</v>
      </c>
      <c r="B573">
        <v>1</v>
      </c>
      <c r="C573">
        <v>0.98451832963539399</v>
      </c>
      <c r="D573">
        <v>1.40793787462331</v>
      </c>
      <c r="E573">
        <v>1.69255224028877</v>
      </c>
      <c r="F573">
        <v>1.2962545948273001</v>
      </c>
      <c r="G573">
        <v>1.37238798556148</v>
      </c>
      <c r="H573">
        <v>0.91206080074179596</v>
      </c>
      <c r="I573">
        <v>1.3337748782991701</v>
      </c>
      <c r="J573">
        <v>1.3767427227870299</v>
      </c>
      <c r="K573">
        <v>1.30226512567474</v>
      </c>
      <c r="L573">
        <v>11066.804033025001</v>
      </c>
      <c r="M573">
        <v>250</v>
      </c>
      <c r="O573">
        <v>44.264383545782202</v>
      </c>
      <c r="P573">
        <v>0.47547154232336297</v>
      </c>
      <c r="Q573">
        <v>1.33674327334942</v>
      </c>
      <c r="R573">
        <v>0.37372047222232102</v>
      </c>
      <c r="S573" t="s">
        <v>2447</v>
      </c>
      <c r="T573" t="s">
        <v>3746</v>
      </c>
      <c r="U573" t="s">
        <v>3746</v>
      </c>
      <c r="V573" t="s">
        <v>3746</v>
      </c>
      <c r="W573" t="s">
        <v>4311</v>
      </c>
      <c r="X573">
        <v>6</v>
      </c>
      <c r="Y573" t="s">
        <v>6169</v>
      </c>
      <c r="Z573" t="s">
        <v>7961</v>
      </c>
      <c r="AA573">
        <v>1.288818568064843</v>
      </c>
      <c r="AB573" t="str">
        <f>HYPERLINK("Melting_Curves/meltCurve_K7EIJ0_WBP2.pdf", "Melting_Curves/meltCurve_K7EIJ0_WBP2.pdf")</f>
        <v>Melting_Curves/meltCurve_K7EIJ0_WBP2.pdf</v>
      </c>
    </row>
    <row r="574" spans="1:28" x14ac:dyDescent="0.25">
      <c r="A574" t="s">
        <v>578</v>
      </c>
      <c r="B574">
        <v>1</v>
      </c>
      <c r="C574">
        <v>0.94688351021862505</v>
      </c>
      <c r="D574">
        <v>1.66697208012013</v>
      </c>
      <c r="E574">
        <v>1.6319513374564101</v>
      </c>
      <c r="F574">
        <v>0.77992415565905704</v>
      </c>
      <c r="G574">
        <v>0.77997505790130095</v>
      </c>
      <c r="H574">
        <v>0.89516683209895398</v>
      </c>
      <c r="I574">
        <v>1.1141228271105299</v>
      </c>
      <c r="J574">
        <v>1.17243134560077</v>
      </c>
      <c r="K574">
        <v>1.04588837138276</v>
      </c>
      <c r="L574">
        <v>11049.4169423819</v>
      </c>
      <c r="M574">
        <v>250</v>
      </c>
      <c r="O574">
        <v>44.194829104672699</v>
      </c>
      <c r="P574">
        <v>0.19203819979932599</v>
      </c>
      <c r="Q574">
        <v>1.1357935583739001</v>
      </c>
      <c r="R574">
        <v>4.5637277534372397E-2</v>
      </c>
      <c r="S574" t="s">
        <v>2448</v>
      </c>
      <c r="T574" t="s">
        <v>3746</v>
      </c>
      <c r="U574" t="s">
        <v>3746</v>
      </c>
      <c r="V574" t="s">
        <v>3746</v>
      </c>
      <c r="W574" t="s">
        <v>4312</v>
      </c>
      <c r="X574">
        <v>1</v>
      </c>
      <c r="Y574" t="s">
        <v>6170</v>
      </c>
      <c r="Z574" t="s">
        <v>7962</v>
      </c>
      <c r="AA574">
        <v>1.1167824839378719</v>
      </c>
      <c r="AB574" t="str">
        <f>HYPERLINK("Melting_Curves/meltCurve_K7EIJ6_MYO5B.pdf", "Melting_Curves/meltCurve_K7EIJ6_MYO5B.pdf")</f>
        <v>Melting_Curves/meltCurve_K7EIJ6_MYO5B.pdf</v>
      </c>
    </row>
    <row r="575" spans="1:28" x14ac:dyDescent="0.25">
      <c r="A575" t="s">
        <v>579</v>
      </c>
      <c r="B575">
        <v>1</v>
      </c>
      <c r="C575">
        <v>1.0450898571235301</v>
      </c>
      <c r="D575">
        <v>1.5663340166706601</v>
      </c>
      <c r="E575">
        <v>2.39195812564388</v>
      </c>
      <c r="F575">
        <v>1.9956918530235099</v>
      </c>
      <c r="G575">
        <v>2.3088129702279998</v>
      </c>
      <c r="H575">
        <v>2.0598978115862101</v>
      </c>
      <c r="I575">
        <v>2.9861494115321001</v>
      </c>
      <c r="J575">
        <v>3.0560787537592198</v>
      </c>
      <c r="K575">
        <v>2.8645014932828299</v>
      </c>
      <c r="S575" t="s">
        <v>2449</v>
      </c>
      <c r="T575" t="s">
        <v>3746</v>
      </c>
      <c r="U575" t="s">
        <v>3747</v>
      </c>
      <c r="V575" t="s">
        <v>3746</v>
      </c>
      <c r="W575" t="s">
        <v>4313</v>
      </c>
      <c r="X575">
        <v>3</v>
      </c>
      <c r="Y575" t="s">
        <v>6171</v>
      </c>
      <c r="Z575" t="s">
        <v>7963</v>
      </c>
      <c r="AB575" t="str">
        <f>HYPERLINK("Melting_Curves/meltCurve_K7EJR3_PSMD8.pdf", "Melting_Curves/meltCurve_K7EJR3_PSMD8.pdf")</f>
        <v>Melting_Curves/meltCurve_K7EJR3_PSMD8.pdf</v>
      </c>
    </row>
    <row r="576" spans="1:28" x14ac:dyDescent="0.25">
      <c r="A576" t="s">
        <v>580</v>
      </c>
      <c r="B576">
        <v>1</v>
      </c>
      <c r="C576">
        <v>0.93577069318514206</v>
      </c>
      <c r="D576">
        <v>1.2100614214682699</v>
      </c>
      <c r="E576">
        <v>1.6379643170517699</v>
      </c>
      <c r="F576">
        <v>1.3179292190698999</v>
      </c>
      <c r="G576">
        <v>1.7391050014624201</v>
      </c>
      <c r="H576">
        <v>1.3656039777712801</v>
      </c>
      <c r="I576">
        <v>2.16893828604855</v>
      </c>
      <c r="J576">
        <v>1.8909622696694901</v>
      </c>
      <c r="K576">
        <v>1.54957589938579</v>
      </c>
      <c r="L576">
        <v>11514.8243805813</v>
      </c>
      <c r="M576">
        <v>250</v>
      </c>
      <c r="O576">
        <v>46.056349959753398</v>
      </c>
      <c r="P576">
        <v>0.67851664351126995</v>
      </c>
      <c r="Q576">
        <v>1.5</v>
      </c>
      <c r="R576">
        <v>0.46758141920701901</v>
      </c>
      <c r="S576" t="s">
        <v>2450</v>
      </c>
      <c r="T576" t="s">
        <v>3746</v>
      </c>
      <c r="U576" t="s">
        <v>3746</v>
      </c>
      <c r="V576" t="s">
        <v>3746</v>
      </c>
      <c r="W576" t="s">
        <v>4314</v>
      </c>
      <c r="X576">
        <v>2</v>
      </c>
      <c r="Y576" t="s">
        <v>6172</v>
      </c>
      <c r="Z576" t="s">
        <v>7964</v>
      </c>
      <c r="AA576">
        <v>1.398971291286091</v>
      </c>
      <c r="AB576" t="str">
        <f>HYPERLINK("Melting_Curves/meltCurve_K7EJT5_RPL22.pdf", "Melting_Curves/meltCurve_K7EJT5_RPL22.pdf")</f>
        <v>Melting_Curves/meltCurve_K7EJT5_RPL22.pdf</v>
      </c>
    </row>
    <row r="577" spans="1:28" x14ac:dyDescent="0.25">
      <c r="A577" t="s">
        <v>581</v>
      </c>
      <c r="B577">
        <v>1</v>
      </c>
      <c r="C577">
        <v>0.98674461287472004</v>
      </c>
      <c r="D577">
        <v>1.3082047447488301</v>
      </c>
      <c r="E577">
        <v>1.3940588675141099</v>
      </c>
      <c r="F577">
        <v>0.91740874175786802</v>
      </c>
      <c r="G577">
        <v>1.02392767316974</v>
      </c>
      <c r="H577">
        <v>0.64558493644211801</v>
      </c>
      <c r="I577">
        <v>1.2431513833186101</v>
      </c>
      <c r="J577">
        <v>1.0440486710624699</v>
      </c>
      <c r="K577">
        <v>1.3949425599891201</v>
      </c>
      <c r="L577">
        <v>11041.8704334411</v>
      </c>
      <c r="M577">
        <v>250</v>
      </c>
      <c r="O577">
        <v>44.164654901265301</v>
      </c>
      <c r="P577">
        <v>0.171820837594889</v>
      </c>
      <c r="Q577">
        <v>1.12141452893131</v>
      </c>
      <c r="R577">
        <v>5.1385993040088597E-2</v>
      </c>
      <c r="S577" t="s">
        <v>2451</v>
      </c>
      <c r="T577" t="s">
        <v>3746</v>
      </c>
      <c r="U577" t="s">
        <v>3746</v>
      </c>
      <c r="V577" t="s">
        <v>3746</v>
      </c>
      <c r="W577" t="s">
        <v>4315</v>
      </c>
      <c r="X577">
        <v>2</v>
      </c>
      <c r="Y577" t="s">
        <v>6173</v>
      </c>
      <c r="Z577" t="s">
        <v>7965</v>
      </c>
      <c r="AA577">
        <v>1.104538689979587</v>
      </c>
      <c r="AB577" t="str">
        <f>HYPERLINK("Melting_Curves/meltCurve_K7EK35_STAT5A.pdf", "Melting_Curves/meltCurve_K7EK35_STAT5A.pdf")</f>
        <v>Melting_Curves/meltCurve_K7EK35_STAT5A.pdf</v>
      </c>
    </row>
    <row r="578" spans="1:28" x14ac:dyDescent="0.25">
      <c r="A578" t="s">
        <v>582</v>
      </c>
      <c r="B578">
        <v>1</v>
      </c>
      <c r="C578">
        <v>1.16231153342706</v>
      </c>
      <c r="D578">
        <v>1.41484462112765</v>
      </c>
      <c r="E578">
        <v>1.4950792650409701</v>
      </c>
      <c r="F578">
        <v>1.36161341930479</v>
      </c>
      <c r="G578">
        <v>1.5490861492218899</v>
      </c>
      <c r="H578">
        <v>1.0477044650215701</v>
      </c>
      <c r="I578">
        <v>1.50264216803219</v>
      </c>
      <c r="J578">
        <v>1.28186357686527</v>
      </c>
      <c r="K578">
        <v>1.29359577253115</v>
      </c>
      <c r="L578">
        <v>10735.2239451978</v>
      </c>
      <c r="M578">
        <v>250</v>
      </c>
      <c r="O578">
        <v>42.938147845926103</v>
      </c>
      <c r="P578">
        <v>0.53609625182174403</v>
      </c>
      <c r="Q578">
        <v>1.3683036815144101</v>
      </c>
      <c r="R578">
        <v>0.439762857654037</v>
      </c>
      <c r="S578" t="s">
        <v>2452</v>
      </c>
      <c r="T578" t="s">
        <v>3746</v>
      </c>
      <c r="U578" t="s">
        <v>3746</v>
      </c>
      <c r="V578" t="s">
        <v>3746</v>
      </c>
      <c r="W578" t="s">
        <v>4316</v>
      </c>
      <c r="X578">
        <v>1</v>
      </c>
      <c r="Y578" t="s">
        <v>6174</v>
      </c>
      <c r="Z578" t="s">
        <v>7966</v>
      </c>
      <c r="AA578">
        <v>1.332171167807169</v>
      </c>
      <c r="AB578" t="str">
        <f>HYPERLINK("Melting_Curves/meltCurve_K7EK45_PTBP1.pdf", "Melting_Curves/meltCurve_K7EK45_PTBP1.pdf")</f>
        <v>Melting_Curves/meltCurve_K7EK45_PTBP1.pdf</v>
      </c>
    </row>
    <row r="579" spans="1:28" x14ac:dyDescent="0.25">
      <c r="A579" t="s">
        <v>583</v>
      </c>
      <c r="B579">
        <v>1</v>
      </c>
      <c r="C579">
        <v>1.0112475163213199</v>
      </c>
      <c r="D579">
        <v>1.4635963667328999</v>
      </c>
      <c r="E579">
        <v>1.8647814362759001</v>
      </c>
      <c r="F579">
        <v>1.35094379789952</v>
      </c>
      <c r="G579">
        <v>1.5971827987510601</v>
      </c>
      <c r="H579">
        <v>1.05034771501561</v>
      </c>
      <c r="I579">
        <v>2.17861197842748</v>
      </c>
      <c r="J579">
        <v>2.4751277320465501</v>
      </c>
      <c r="K579">
        <v>1.95309395401646</v>
      </c>
      <c r="L579">
        <v>4109.7710408270304</v>
      </c>
      <c r="M579">
        <v>91.908057558524902</v>
      </c>
      <c r="O579">
        <v>44.6949471989087</v>
      </c>
      <c r="P579">
        <v>0.25704261650850901</v>
      </c>
      <c r="Q579">
        <v>1.5</v>
      </c>
      <c r="R579">
        <v>0.168122604374879</v>
      </c>
      <c r="S579" t="s">
        <v>2453</v>
      </c>
      <c r="T579" t="s">
        <v>3746</v>
      </c>
      <c r="U579" t="s">
        <v>3746</v>
      </c>
      <c r="V579" t="s">
        <v>3746</v>
      </c>
      <c r="W579" t="s">
        <v>4317</v>
      </c>
      <c r="X579">
        <v>2</v>
      </c>
      <c r="Y579" t="s">
        <v>6175</v>
      </c>
      <c r="Z579" t="s">
        <v>7967</v>
      </c>
      <c r="AA579">
        <v>1.421107265374264</v>
      </c>
      <c r="AB579" t="str">
        <f>HYPERLINK("Melting_Curves/meltCurve_K7EKV4_VPS25.pdf", "Melting_Curves/meltCurve_K7EKV4_VPS25.pdf")</f>
        <v>Melting_Curves/meltCurve_K7EKV4_VPS25.pdf</v>
      </c>
    </row>
    <row r="580" spans="1:28" x14ac:dyDescent="0.25">
      <c r="A580" t="s">
        <v>584</v>
      </c>
      <c r="B580">
        <v>1</v>
      </c>
      <c r="C580">
        <v>0.67873259255664997</v>
      </c>
      <c r="D580">
        <v>1.00955893056432</v>
      </c>
      <c r="E580">
        <v>1.3560580328982501</v>
      </c>
      <c r="F580">
        <v>0.65364646513659097</v>
      </c>
      <c r="G580">
        <v>0.98607404532000598</v>
      </c>
      <c r="H580">
        <v>0.63292736183220899</v>
      </c>
      <c r="I580">
        <v>1.0603619777766999</v>
      </c>
      <c r="J580">
        <v>1.4562084526177901</v>
      </c>
      <c r="K580">
        <v>0.96821776893590195</v>
      </c>
      <c r="L580">
        <v>15000</v>
      </c>
      <c r="M580">
        <v>233.454305871278</v>
      </c>
      <c r="O580">
        <v>64.247678854758405</v>
      </c>
      <c r="P580">
        <v>0.192766102124795</v>
      </c>
      <c r="Q580">
        <v>1.2122004334883301</v>
      </c>
      <c r="R580">
        <v>0.12939155471643701</v>
      </c>
      <c r="S580" t="s">
        <v>2454</v>
      </c>
      <c r="T580" t="s">
        <v>3746</v>
      </c>
      <c r="U580" t="s">
        <v>3746</v>
      </c>
      <c r="V580" t="s">
        <v>3746</v>
      </c>
      <c r="W580" t="s">
        <v>4318</v>
      </c>
      <c r="X580">
        <v>2</v>
      </c>
      <c r="Y580" t="s">
        <v>6176</v>
      </c>
      <c r="Z580" t="s">
        <v>7968</v>
      </c>
      <c r="AA580">
        <v>1.0406273158818979</v>
      </c>
      <c r="AB580" t="str">
        <f>HYPERLINK("Melting_Curves/meltCurve_K7EL62_GNA11.pdf", "Melting_Curves/meltCurve_K7EL62_GNA11.pdf")</f>
        <v>Melting_Curves/meltCurve_K7EL62_GNA11.pdf</v>
      </c>
    </row>
    <row r="581" spans="1:28" x14ac:dyDescent="0.25">
      <c r="A581" t="s">
        <v>585</v>
      </c>
      <c r="B581">
        <v>1</v>
      </c>
      <c r="C581">
        <v>1.0251236943375499</v>
      </c>
      <c r="D581">
        <v>1.77663551401869</v>
      </c>
      <c r="E581">
        <v>2.3715228147333698</v>
      </c>
      <c r="F581">
        <v>1.91061022539857</v>
      </c>
      <c r="G581">
        <v>2.1747663551401901</v>
      </c>
      <c r="H581">
        <v>1.27998900494777</v>
      </c>
      <c r="I581">
        <v>2.03930731170973</v>
      </c>
      <c r="J581">
        <v>2.13221550302364</v>
      </c>
      <c r="K581">
        <v>1.8420560747663599</v>
      </c>
      <c r="L581">
        <v>10851.0862912376</v>
      </c>
      <c r="M581">
        <v>250</v>
      </c>
      <c r="O581">
        <v>43.401567583898697</v>
      </c>
      <c r="P581">
        <v>0.72002007721966399</v>
      </c>
      <c r="Q581">
        <v>1.5</v>
      </c>
      <c r="R581">
        <v>-8.2183735568733193E-2</v>
      </c>
      <c r="S581" t="s">
        <v>2455</v>
      </c>
      <c r="T581" t="s">
        <v>3746</v>
      </c>
      <c r="U581" t="s">
        <v>3746</v>
      </c>
      <c r="V581" t="s">
        <v>3746</v>
      </c>
      <c r="W581" t="s">
        <v>4319</v>
      </c>
      <c r="X581">
        <v>2</v>
      </c>
      <c r="Y581" t="s">
        <v>6177</v>
      </c>
      <c r="Z581" t="s">
        <v>7969</v>
      </c>
      <c r="AA581">
        <v>1.4432228269409819</v>
      </c>
      <c r="AB581" t="str">
        <f>HYPERLINK("Melting_Curves/meltCurve_K7EL68_CDC37.pdf", "Melting_Curves/meltCurve_K7EL68_CDC37.pdf")</f>
        <v>Melting_Curves/meltCurve_K7EL68_CDC37.pdf</v>
      </c>
    </row>
    <row r="582" spans="1:28" x14ac:dyDescent="0.25">
      <c r="A582" t="s">
        <v>586</v>
      </c>
      <c r="B582">
        <v>1</v>
      </c>
      <c r="C582">
        <v>0.81126774951476099</v>
      </c>
      <c r="D582">
        <v>2.0692103381346398</v>
      </c>
      <c r="E582">
        <v>2.7589130656859702</v>
      </c>
      <c r="F582">
        <v>2.6485340688527899</v>
      </c>
      <c r="G582">
        <v>2.6123710287056898</v>
      </c>
      <c r="H582">
        <v>1.71013382367964</v>
      </c>
      <c r="I582">
        <v>2.6163550924507102</v>
      </c>
      <c r="J582">
        <v>2.6967003779752798</v>
      </c>
      <c r="K582">
        <v>2.1979773214832998</v>
      </c>
      <c r="L582">
        <v>11076.0156174077</v>
      </c>
      <c r="M582">
        <v>250</v>
      </c>
      <c r="O582">
        <v>44.301212028493197</v>
      </c>
      <c r="P582">
        <v>0.70539806413086703</v>
      </c>
      <c r="Q582">
        <v>1.5</v>
      </c>
      <c r="R582">
        <v>-0.657460749573062</v>
      </c>
      <c r="S582" t="s">
        <v>2456</v>
      </c>
      <c r="T582" t="s">
        <v>3746</v>
      </c>
      <c r="U582" t="s">
        <v>3746</v>
      </c>
      <c r="V582" t="s">
        <v>3746</v>
      </c>
      <c r="W582" t="s">
        <v>4320</v>
      </c>
      <c r="X582">
        <v>3</v>
      </c>
      <c r="Y582" t="s">
        <v>6178</v>
      </c>
      <c r="Z582" t="s">
        <v>7970</v>
      </c>
      <c r="AA582">
        <v>1.4282267490360929</v>
      </c>
      <c r="AB582" t="str">
        <f>HYPERLINK("Melting_Curves/meltCurve_K7EL76_KLC3.pdf", "Melting_Curves/meltCurve_K7EL76_KLC3.pdf")</f>
        <v>Melting_Curves/meltCurve_K7EL76_KLC3.pdf</v>
      </c>
    </row>
    <row r="583" spans="1:28" x14ac:dyDescent="0.25">
      <c r="A583" t="s">
        <v>587</v>
      </c>
      <c r="B583">
        <v>1</v>
      </c>
      <c r="C583">
        <v>1.1134225759768499</v>
      </c>
      <c r="D583">
        <v>1.8944464544138899</v>
      </c>
      <c r="E583">
        <v>2.44998191027496</v>
      </c>
      <c r="F583">
        <v>1.6036541244573099</v>
      </c>
      <c r="G583">
        <v>1.85537264833575</v>
      </c>
      <c r="H583">
        <v>1.0905390738060801</v>
      </c>
      <c r="I583">
        <v>1.6443560057887101</v>
      </c>
      <c r="J583">
        <v>1.74167872648336</v>
      </c>
      <c r="K583">
        <v>1.5776953690303901</v>
      </c>
      <c r="L583">
        <v>10777.6043272441</v>
      </c>
      <c r="M583">
        <v>250</v>
      </c>
      <c r="O583">
        <v>43.107658544812999</v>
      </c>
      <c r="P583">
        <v>0.72492919132168299</v>
      </c>
      <c r="Q583">
        <v>1.5</v>
      </c>
      <c r="R583">
        <v>0.174045480806335</v>
      </c>
      <c r="S583" t="s">
        <v>2457</v>
      </c>
      <c r="T583" t="s">
        <v>3746</v>
      </c>
      <c r="U583" t="s">
        <v>3746</v>
      </c>
      <c r="V583" t="s">
        <v>3746</v>
      </c>
      <c r="W583" t="s">
        <v>4321</v>
      </c>
      <c r="X583">
        <v>7</v>
      </c>
      <c r="Y583" t="s">
        <v>6179</v>
      </c>
      <c r="Z583" t="s">
        <v>7971</v>
      </c>
      <c r="AA583">
        <v>1.4481218824524831</v>
      </c>
      <c r="AB583" t="str">
        <f>HYPERLINK("Melting_Curves/meltCurve_K7ELL7_PRKCSH.pdf", "Melting_Curves/meltCurve_K7ELL7_PRKCSH.pdf")</f>
        <v>Melting_Curves/meltCurve_K7ELL7_PRKCSH.pdf</v>
      </c>
    </row>
    <row r="584" spans="1:28" x14ac:dyDescent="0.25">
      <c r="A584" t="s">
        <v>588</v>
      </c>
      <c r="B584">
        <v>1</v>
      </c>
      <c r="C584">
        <v>1.29721410684474</v>
      </c>
      <c r="D584">
        <v>1.9231010016694501</v>
      </c>
      <c r="E584">
        <v>2.9552900667779598</v>
      </c>
      <c r="F584">
        <v>2.18416110183639</v>
      </c>
      <c r="G584">
        <v>3.3789127712854801</v>
      </c>
      <c r="H584">
        <v>2.2456698664440702</v>
      </c>
      <c r="I584">
        <v>3.34255008347245</v>
      </c>
      <c r="J584">
        <v>3.4076064273789699</v>
      </c>
      <c r="K584">
        <v>3.50709515859766</v>
      </c>
      <c r="L584">
        <v>10708.599221644101</v>
      </c>
      <c r="M584">
        <v>250</v>
      </c>
      <c r="O584">
        <v>42.831655426506103</v>
      </c>
      <c r="P584">
        <v>0.72960056003724405</v>
      </c>
      <c r="Q584">
        <v>1.5</v>
      </c>
      <c r="R584">
        <v>-1.3216986909014199</v>
      </c>
      <c r="S584" t="s">
        <v>2458</v>
      </c>
      <c r="T584" t="s">
        <v>3746</v>
      </c>
      <c r="U584" t="s">
        <v>3746</v>
      </c>
      <c r="V584" t="s">
        <v>3746</v>
      </c>
      <c r="W584" t="s">
        <v>4322</v>
      </c>
      <c r="X584">
        <v>1</v>
      </c>
      <c r="Y584" t="s">
        <v>6180</v>
      </c>
      <c r="Z584" t="s">
        <v>7972</v>
      </c>
      <c r="AA584">
        <v>1.45272246499039</v>
      </c>
      <c r="AB584" t="str">
        <f>HYPERLINK("Melting_Curves/meltCurve_K7EM02_KATNAL2.pdf", "Melting_Curves/meltCurve_K7EM02_KATNAL2.pdf")</f>
        <v>Melting_Curves/meltCurve_K7EM02_KATNAL2.pdf</v>
      </c>
    </row>
    <row r="585" spans="1:28" x14ac:dyDescent="0.25">
      <c r="A585" t="s">
        <v>589</v>
      </c>
      <c r="B585">
        <v>1</v>
      </c>
      <c r="C585">
        <v>1.0874644507173299</v>
      </c>
      <c r="D585">
        <v>1.1951959571611299</v>
      </c>
      <c r="E585">
        <v>1.5863702200090899</v>
      </c>
      <c r="F585">
        <v>0.99288485732711695</v>
      </c>
      <c r="G585">
        <v>1.28706904754353</v>
      </c>
      <c r="H585">
        <v>0.65702474970133296</v>
      </c>
      <c r="I585">
        <v>1.1951959571611299</v>
      </c>
      <c r="J585">
        <v>1.0013003901170301</v>
      </c>
      <c r="K585">
        <v>0.99600367915252597</v>
      </c>
      <c r="L585">
        <v>1.0000000000000001E-5</v>
      </c>
      <c r="M585">
        <v>1.5029742941411901E-4</v>
      </c>
      <c r="Q585">
        <v>1.19968687335207</v>
      </c>
      <c r="R585">
        <v>-2.9499596099213899E-9</v>
      </c>
      <c r="S585" t="s">
        <v>2459</v>
      </c>
      <c r="T585" t="s">
        <v>3746</v>
      </c>
      <c r="U585" t="s">
        <v>3746</v>
      </c>
      <c r="V585" t="s">
        <v>3746</v>
      </c>
      <c r="W585" t="s">
        <v>4323</v>
      </c>
      <c r="X585">
        <v>1</v>
      </c>
      <c r="Y585" t="s">
        <v>6181</v>
      </c>
      <c r="Z585" t="s">
        <v>7973</v>
      </c>
      <c r="AA585">
        <v>1.099850930469632</v>
      </c>
      <c r="AB585" t="str">
        <f>HYPERLINK("Melting_Curves/meltCurve_K7EM18_EIF1.pdf", "Melting_Curves/meltCurve_K7EM18_EIF1.pdf")</f>
        <v>Melting_Curves/meltCurve_K7EM18_EIF1.pdf</v>
      </c>
    </row>
    <row r="586" spans="1:28" x14ac:dyDescent="0.25">
      <c r="A586" t="s">
        <v>590</v>
      </c>
      <c r="B586">
        <v>1</v>
      </c>
      <c r="C586">
        <v>1.10654134262131</v>
      </c>
      <c r="D586">
        <v>1.65313230593063</v>
      </c>
      <c r="E586">
        <v>2.15830907963166</v>
      </c>
      <c r="F586">
        <v>1.7664964931533</v>
      </c>
      <c r="G586">
        <v>1.97270862159454</v>
      </c>
      <c r="H586">
        <v>1.0144090844028799</v>
      </c>
      <c r="I586">
        <v>1.8734672455746899</v>
      </c>
      <c r="J586">
        <v>1.8132544491626501</v>
      </c>
      <c r="K586">
        <v>1.8210315377642099</v>
      </c>
      <c r="L586">
        <v>10781.0463291182</v>
      </c>
      <c r="M586">
        <v>250</v>
      </c>
      <c r="O586">
        <v>43.121425655228201</v>
      </c>
      <c r="P586">
        <v>0.72469774740066395</v>
      </c>
      <c r="Q586">
        <v>1.5</v>
      </c>
      <c r="R586">
        <v>0.16675608687707999</v>
      </c>
      <c r="S586" t="s">
        <v>2460</v>
      </c>
      <c r="T586" t="s">
        <v>3746</v>
      </c>
      <c r="U586" t="s">
        <v>3746</v>
      </c>
      <c r="V586" t="s">
        <v>3746</v>
      </c>
      <c r="W586" t="s">
        <v>4324</v>
      </c>
      <c r="X586">
        <v>2</v>
      </c>
      <c r="Y586" t="s">
        <v>6182</v>
      </c>
      <c r="Z586" t="s">
        <v>7974</v>
      </c>
      <c r="AA586">
        <v>1.44789240358029</v>
      </c>
      <c r="AB586" t="str">
        <f>HYPERLINK("Melting_Curves/meltCurve_K7EMD6_SGTA.pdf", "Melting_Curves/meltCurve_K7EMD6_SGTA.pdf")</f>
        <v>Melting_Curves/meltCurve_K7EMD6_SGTA.pdf</v>
      </c>
    </row>
    <row r="587" spans="1:28" x14ac:dyDescent="0.25">
      <c r="A587" t="s">
        <v>591</v>
      </c>
      <c r="B587">
        <v>1</v>
      </c>
      <c r="C587">
        <v>1.24660545713177</v>
      </c>
      <c r="D587">
        <v>1.4187896030001299</v>
      </c>
      <c r="E587">
        <v>1.6722488038277501</v>
      </c>
      <c r="F587">
        <v>1.64198887883098</v>
      </c>
      <c r="G587">
        <v>1.3990689253847099</v>
      </c>
      <c r="H587">
        <v>1.6101125048493501</v>
      </c>
      <c r="I587">
        <v>1.6546618388723699</v>
      </c>
      <c r="J587">
        <v>1.75164877796457</v>
      </c>
      <c r="K587">
        <v>2.0314884262252701</v>
      </c>
      <c r="L587">
        <v>1682.6558693495399</v>
      </c>
      <c r="M587">
        <v>39.089016890915303</v>
      </c>
      <c r="O587">
        <v>42.934567218227201</v>
      </c>
      <c r="P587">
        <v>0.113804298149487</v>
      </c>
      <c r="Q587">
        <v>1.5</v>
      </c>
      <c r="R587">
        <v>0.40175895937129302</v>
      </c>
      <c r="S587" t="s">
        <v>2461</v>
      </c>
      <c r="T587" t="s">
        <v>3746</v>
      </c>
      <c r="U587" t="s">
        <v>3746</v>
      </c>
      <c r="V587" t="s">
        <v>3746</v>
      </c>
      <c r="W587" t="s">
        <v>4325</v>
      </c>
      <c r="X587">
        <v>10</v>
      </c>
      <c r="Y587" t="s">
        <v>6183</v>
      </c>
      <c r="Z587" t="s">
        <v>7975</v>
      </c>
      <c r="AA587">
        <v>1.446909730833152</v>
      </c>
      <c r="AB587" t="str">
        <f>HYPERLINK("Melting_Curves/meltCurve_K7EMS3_KRT19.pdf", "Melting_Curves/meltCurve_K7EMS3_KRT19.pdf")</f>
        <v>Melting_Curves/meltCurve_K7EMS3_KRT19.pdf</v>
      </c>
    </row>
    <row r="588" spans="1:28" x14ac:dyDescent="0.25">
      <c r="A588" t="s">
        <v>592</v>
      </c>
      <c r="B588">
        <v>1</v>
      </c>
      <c r="C588">
        <v>1.3656224899598399</v>
      </c>
      <c r="D588">
        <v>9.2363052208835299</v>
      </c>
      <c r="E588">
        <v>9.1110040160642605</v>
      </c>
      <c r="F588">
        <v>5.16273092369478</v>
      </c>
      <c r="G588">
        <v>5.7812048192771099</v>
      </c>
      <c r="H588">
        <v>4.1940562248996001</v>
      </c>
      <c r="I588">
        <v>5.28417670682731</v>
      </c>
      <c r="J588">
        <v>5.2713253012048202</v>
      </c>
      <c r="K588">
        <v>5.16883534136546</v>
      </c>
      <c r="L588">
        <v>1.0000000000000001E-5</v>
      </c>
      <c r="M588">
        <v>31.2638081792098</v>
      </c>
      <c r="Q588">
        <v>1.5</v>
      </c>
      <c r="R588">
        <v>-2.0493626666784999</v>
      </c>
      <c r="S588" t="s">
        <v>2462</v>
      </c>
      <c r="T588" t="s">
        <v>3746</v>
      </c>
      <c r="U588" t="s">
        <v>3746</v>
      </c>
      <c r="V588" t="s">
        <v>3746</v>
      </c>
      <c r="W588" t="s">
        <v>4326</v>
      </c>
      <c r="X588">
        <v>2</v>
      </c>
      <c r="Y588" t="s">
        <v>6184</v>
      </c>
      <c r="Z588" t="s">
        <v>7976</v>
      </c>
      <c r="AA588">
        <v>1.499999999999986</v>
      </c>
      <c r="AB588" t="str">
        <f>HYPERLINK("Melting_Curves/meltCurve_K7EMV3_H3F3B.pdf", "Melting_Curves/meltCurve_K7EMV3_H3F3B.pdf")</f>
        <v>Melting_Curves/meltCurve_K7EMV3_H3F3B.pdf</v>
      </c>
    </row>
    <row r="589" spans="1:28" x14ac:dyDescent="0.25">
      <c r="A589" t="s">
        <v>593</v>
      </c>
      <c r="B589">
        <v>1</v>
      </c>
      <c r="C589">
        <v>1.1315410941917601</v>
      </c>
      <c r="D589">
        <v>1.5737810624473001</v>
      </c>
      <c r="E589">
        <v>2.0339268885471999</v>
      </c>
      <c r="F589">
        <v>1.8264967015525</v>
      </c>
      <c r="G589">
        <v>1.94112395218491</v>
      </c>
      <c r="H589">
        <v>1.6667328009523299</v>
      </c>
      <c r="I589">
        <v>1.9413223550419101</v>
      </c>
      <c r="J589">
        <v>1.8430633401120999</v>
      </c>
      <c r="K589">
        <v>1.9019889886414401</v>
      </c>
      <c r="L589">
        <v>10769.187404115501</v>
      </c>
      <c r="M589">
        <v>250</v>
      </c>
      <c r="O589">
        <v>43.073993205097899</v>
      </c>
      <c r="P589">
        <v>0.72549577755008599</v>
      </c>
      <c r="Q589">
        <v>1.5</v>
      </c>
      <c r="R589">
        <v>3.5125561071302699E-2</v>
      </c>
      <c r="S589" t="s">
        <v>2463</v>
      </c>
      <c r="T589" t="s">
        <v>3746</v>
      </c>
      <c r="U589" t="s">
        <v>3746</v>
      </c>
      <c r="V589" t="s">
        <v>3746</v>
      </c>
      <c r="W589" t="s">
        <v>4327</v>
      </c>
      <c r="X589">
        <v>1</v>
      </c>
      <c r="Y589" t="s">
        <v>6185</v>
      </c>
      <c r="Z589" t="s">
        <v>7977</v>
      </c>
      <c r="AA589">
        <v>1.44868304020211</v>
      </c>
      <c r="AB589" t="str">
        <f>HYPERLINK("Melting_Curves/meltCurve_K7ENS2_TBCB.pdf", "Melting_Curves/meltCurve_K7ENS2_TBCB.pdf")</f>
        <v>Melting_Curves/meltCurve_K7ENS2_TBCB.pdf</v>
      </c>
    </row>
    <row r="590" spans="1:28" x14ac:dyDescent="0.25">
      <c r="A590" t="s">
        <v>594</v>
      </c>
      <c r="B590">
        <v>1</v>
      </c>
      <c r="C590">
        <v>0.88072666912578401</v>
      </c>
      <c r="D590">
        <v>1.65118037624493</v>
      </c>
      <c r="E590">
        <v>1.9905938767982301</v>
      </c>
      <c r="F590">
        <v>2.0254518627812601</v>
      </c>
      <c r="G590">
        <v>1.5564920693471</v>
      </c>
      <c r="H590">
        <v>1.20477683511619</v>
      </c>
      <c r="I590">
        <v>1.3983954260420499</v>
      </c>
      <c r="J590">
        <v>1.2594245665806001</v>
      </c>
      <c r="K590">
        <v>1.4299889339727001</v>
      </c>
      <c r="L590">
        <v>11095.1945138589</v>
      </c>
      <c r="M590">
        <v>250</v>
      </c>
      <c r="O590">
        <v>44.377938072902801</v>
      </c>
      <c r="P590">
        <v>0.70417873067250603</v>
      </c>
      <c r="Q590">
        <v>1.5</v>
      </c>
      <c r="R590">
        <v>0.44828397010325899</v>
      </c>
      <c r="S590" t="s">
        <v>2464</v>
      </c>
      <c r="T590" t="s">
        <v>3746</v>
      </c>
      <c r="U590" t="s">
        <v>3746</v>
      </c>
      <c r="V590" t="s">
        <v>3746</v>
      </c>
      <c r="W590" t="s">
        <v>4328</v>
      </c>
      <c r="X590">
        <v>1</v>
      </c>
      <c r="Y590" t="s">
        <v>6186</v>
      </c>
      <c r="Z590" t="s">
        <v>7978</v>
      </c>
      <c r="AA590">
        <v>1.4269480886220189</v>
      </c>
      <c r="AB590" t="str">
        <f>HYPERLINK("Melting_Curves/meltCurve_K7EP80_CAPNS1.pdf", "Melting_Curves/meltCurve_K7EP80_CAPNS1.pdf")</f>
        <v>Melting_Curves/meltCurve_K7EP80_CAPNS1.pdf</v>
      </c>
    </row>
    <row r="591" spans="1:28" x14ac:dyDescent="0.25">
      <c r="A591" t="s">
        <v>595</v>
      </c>
      <c r="B591">
        <v>1</v>
      </c>
      <c r="C591">
        <v>1.0852991130402001</v>
      </c>
      <c r="D591">
        <v>1.30335912436309</v>
      </c>
      <c r="E591">
        <v>1.4075297225891701</v>
      </c>
      <c r="F591">
        <v>1.20786940932251</v>
      </c>
      <c r="G591">
        <v>1.30260426495565</v>
      </c>
      <c r="H591">
        <v>0.66901302132477802</v>
      </c>
      <c r="I591">
        <v>1.14568786563503</v>
      </c>
      <c r="J591">
        <v>1.0548216644649899</v>
      </c>
      <c r="K591">
        <v>0.97216455935082102</v>
      </c>
      <c r="L591">
        <v>1376.2466605239199</v>
      </c>
      <c r="M591">
        <v>4.5459063845641898</v>
      </c>
      <c r="Q591">
        <v>1.33548022899673</v>
      </c>
      <c r="R591">
        <v>-0.327344467277917</v>
      </c>
      <c r="S591" t="s">
        <v>2465</v>
      </c>
      <c r="T591" t="s">
        <v>3746</v>
      </c>
      <c r="U591" t="s">
        <v>3746</v>
      </c>
      <c r="V591" t="s">
        <v>3746</v>
      </c>
      <c r="W591" t="s">
        <v>4329</v>
      </c>
      <c r="X591">
        <v>2</v>
      </c>
      <c r="Y591" t="s">
        <v>6187</v>
      </c>
      <c r="Z591" t="s">
        <v>7979</v>
      </c>
      <c r="AA591">
        <v>1.000000009895329</v>
      </c>
      <c r="AB591" t="str">
        <f>HYPERLINK("Melting_Curves/meltCurve_K7EQA1_PDCD5.pdf", "Melting_Curves/meltCurve_K7EQA1_PDCD5.pdf")</f>
        <v>Melting_Curves/meltCurve_K7EQA1_PDCD5.pdf</v>
      </c>
    </row>
    <row r="592" spans="1:28" x14ac:dyDescent="0.25">
      <c r="A592" t="s">
        <v>596</v>
      </c>
      <c r="B592">
        <v>1</v>
      </c>
      <c r="C592">
        <v>0.96214901816847098</v>
      </c>
      <c r="D592">
        <v>1.0782712424298</v>
      </c>
      <c r="E592">
        <v>1.3447192145347799</v>
      </c>
      <c r="F592">
        <v>0.835818498807121</v>
      </c>
      <c r="G592">
        <v>0.86924206276381</v>
      </c>
      <c r="H592">
        <v>0.46669113598825501</v>
      </c>
      <c r="I592">
        <v>0.89580657001284603</v>
      </c>
      <c r="J592">
        <v>0.80751055239493497</v>
      </c>
      <c r="K592">
        <v>0.71751697559185201</v>
      </c>
      <c r="L592">
        <v>13214.775376276901</v>
      </c>
      <c r="M592">
        <v>250</v>
      </c>
      <c r="O592">
        <v>52.8557047778365</v>
      </c>
      <c r="P592">
        <v>-0.29401576325218598</v>
      </c>
      <c r="Q592">
        <v>0.75135336758668303</v>
      </c>
      <c r="R592">
        <v>0.48440611213288698</v>
      </c>
      <c r="S592" t="s">
        <v>2466</v>
      </c>
      <c r="T592" t="s">
        <v>3746</v>
      </c>
      <c r="U592" t="s">
        <v>3746</v>
      </c>
      <c r="V592" t="s">
        <v>3746</v>
      </c>
      <c r="W592" t="s">
        <v>4330</v>
      </c>
      <c r="X592">
        <v>3</v>
      </c>
      <c r="Z592" t="s">
        <v>7980</v>
      </c>
      <c r="AA592">
        <v>0.85795550993428482</v>
      </c>
      <c r="AB592" t="str">
        <f>HYPERLINK("Melting_Curves/meltCurve_K7EQZ3_.pdf", "Melting_Curves/meltCurve_K7EQZ3_.pdf")</f>
        <v>Melting_Curves/meltCurve_K7EQZ3_.pdf</v>
      </c>
    </row>
    <row r="593" spans="1:28" x14ac:dyDescent="0.25">
      <c r="A593" t="s">
        <v>597</v>
      </c>
      <c r="B593">
        <v>1</v>
      </c>
      <c r="C593">
        <v>0.78506755815573204</v>
      </c>
      <c r="D593">
        <v>1.3413660212657299</v>
      </c>
      <c r="E593">
        <v>1.23643032920091</v>
      </c>
      <c r="F593">
        <v>1.09086688025259</v>
      </c>
      <c r="G593">
        <v>1.0478246738171499</v>
      </c>
      <c r="H593">
        <v>0.64098992431629298</v>
      </c>
      <c r="I593">
        <v>1.10066397362678</v>
      </c>
      <c r="J593">
        <v>0.97288387426289702</v>
      </c>
      <c r="K593">
        <v>0.79491108325207804</v>
      </c>
      <c r="L593">
        <v>1058.2934045243401</v>
      </c>
      <c r="M593">
        <v>13.500356044192801</v>
      </c>
      <c r="Q593">
        <v>0</v>
      </c>
      <c r="R593">
        <v>9.5108842116873898E-2</v>
      </c>
      <c r="S593" t="s">
        <v>2467</v>
      </c>
      <c r="T593" t="s">
        <v>3746</v>
      </c>
      <c r="U593" t="s">
        <v>3746</v>
      </c>
      <c r="V593" t="s">
        <v>3746</v>
      </c>
      <c r="W593" t="s">
        <v>4331</v>
      </c>
      <c r="X593">
        <v>1</v>
      </c>
      <c r="Y593" t="s">
        <v>6188</v>
      </c>
      <c r="Z593" t="s">
        <v>7981</v>
      </c>
      <c r="AA593">
        <v>0.97532208621546834</v>
      </c>
      <c r="AB593" t="str">
        <f>HYPERLINK("Melting_Curves/meltCurve_K7ERG9_CFD.pdf", "Melting_Curves/meltCurve_K7ERG9_CFD.pdf")</f>
        <v>Melting_Curves/meltCurve_K7ERG9_CFD.pdf</v>
      </c>
    </row>
    <row r="594" spans="1:28" x14ac:dyDescent="0.25">
      <c r="A594" t="s">
        <v>598</v>
      </c>
      <c r="B594">
        <v>1</v>
      </c>
      <c r="C594">
        <v>0.993827675369088</v>
      </c>
      <c r="D594">
        <v>1.34131287013095</v>
      </c>
      <c r="E594">
        <v>1.4369004921177699</v>
      </c>
      <c r="F594">
        <v>0.95287346734506595</v>
      </c>
      <c r="G594">
        <v>1.0311952623238001</v>
      </c>
      <c r="H594">
        <v>0.66081407957294203</v>
      </c>
      <c r="I594">
        <v>1.0025857035615999</v>
      </c>
      <c r="J594">
        <v>0.97722912669947404</v>
      </c>
      <c r="K594">
        <v>0.84527483526566005</v>
      </c>
      <c r="L594">
        <v>5155.66890117193</v>
      </c>
      <c r="M594">
        <v>88.338127546713395</v>
      </c>
      <c r="O594">
        <v>58.333005557270603</v>
      </c>
      <c r="P594">
        <v>-4.8031368576097799E-2</v>
      </c>
      <c r="Q594">
        <v>0.87313229724095998</v>
      </c>
      <c r="R594">
        <v>0.130586939210316</v>
      </c>
      <c r="S594" t="s">
        <v>2468</v>
      </c>
      <c r="T594" t="s">
        <v>3746</v>
      </c>
      <c r="U594" t="s">
        <v>3746</v>
      </c>
      <c r="V594" t="s">
        <v>3746</v>
      </c>
      <c r="W594" t="s">
        <v>4332</v>
      </c>
      <c r="X594">
        <v>4</v>
      </c>
      <c r="Y594" t="s">
        <v>6189</v>
      </c>
      <c r="Z594" t="s">
        <v>7982</v>
      </c>
      <c r="AA594">
        <v>0.9508918107634784</v>
      </c>
      <c r="AB594" t="str">
        <f>HYPERLINK("Melting_Curves/meltCurve_K7ERI9_APOC1.pdf", "Melting_Curves/meltCurve_K7ERI9_APOC1.pdf")</f>
        <v>Melting_Curves/meltCurve_K7ERI9_APOC1.pdf</v>
      </c>
    </row>
    <row r="595" spans="1:28" x14ac:dyDescent="0.25">
      <c r="A595" t="s">
        <v>599</v>
      </c>
      <c r="B595">
        <v>1</v>
      </c>
      <c r="C595">
        <v>0.97069681587448098</v>
      </c>
      <c r="D595">
        <v>1.40478387940317</v>
      </c>
      <c r="E595">
        <v>1.8504076295954499</v>
      </c>
      <c r="F595">
        <v>1.3457160436855899</v>
      </c>
      <c r="G595">
        <v>1.65297646515921</v>
      </c>
      <c r="H595">
        <v>0.98007998769420102</v>
      </c>
      <c r="I595">
        <v>1.7698046454391601</v>
      </c>
      <c r="J595">
        <v>1.7485002307337301</v>
      </c>
      <c r="K595">
        <v>1.6265189970773699</v>
      </c>
      <c r="L595">
        <v>11433.428622059801</v>
      </c>
      <c r="M595">
        <v>250</v>
      </c>
      <c r="O595">
        <v>45.730809678790202</v>
      </c>
      <c r="P595">
        <v>0.683347071098376</v>
      </c>
      <c r="Q595">
        <v>1.5</v>
      </c>
      <c r="R595">
        <v>0.45602571862022101</v>
      </c>
      <c r="S595" t="s">
        <v>2469</v>
      </c>
      <c r="T595" t="s">
        <v>3746</v>
      </c>
      <c r="U595" t="s">
        <v>3746</v>
      </c>
      <c r="V595" t="s">
        <v>3746</v>
      </c>
      <c r="W595" t="s">
        <v>4333</v>
      </c>
      <c r="X595">
        <v>5</v>
      </c>
      <c r="Y595" t="s">
        <v>6190</v>
      </c>
      <c r="Z595" t="s">
        <v>7983</v>
      </c>
      <c r="AA595">
        <v>1.4043979608841011</v>
      </c>
      <c r="AB595" t="str">
        <f>HYPERLINK("Melting_Curves/meltCurve_K7ERP4_GPX4.pdf", "Melting_Curves/meltCurve_K7ERP4_GPX4.pdf")</f>
        <v>Melting_Curves/meltCurve_K7ERP4_GPX4.pdf</v>
      </c>
    </row>
    <row r="596" spans="1:28" x14ac:dyDescent="0.25">
      <c r="A596" t="s">
        <v>600</v>
      </c>
      <c r="B596">
        <v>1</v>
      </c>
      <c r="C596">
        <v>1.1286224645685901</v>
      </c>
      <c r="D596">
        <v>1.1690483465344199</v>
      </c>
      <c r="E596">
        <v>1.69741697416974</v>
      </c>
      <c r="F596">
        <v>1.27940865395915</v>
      </c>
      <c r="G596">
        <v>1.8183420687710099</v>
      </c>
      <c r="H596">
        <v>0.47541542294403799</v>
      </c>
      <c r="I596">
        <v>1.4281853009612899</v>
      </c>
      <c r="J596">
        <v>1.4422873528098299</v>
      </c>
      <c r="K596">
        <v>1.3237126001833299</v>
      </c>
      <c r="L596">
        <v>1520.7829684272499</v>
      </c>
      <c r="M596">
        <v>34.185699329773101</v>
      </c>
      <c r="O596">
        <v>44.334540937958401</v>
      </c>
      <c r="P596">
        <v>6.6342975307438004E-2</v>
      </c>
      <c r="Q596">
        <v>1.34415255081809</v>
      </c>
      <c r="R596">
        <v>0.104209585136827</v>
      </c>
      <c r="S596" t="s">
        <v>2470</v>
      </c>
      <c r="T596" t="s">
        <v>3746</v>
      </c>
      <c r="U596" t="s">
        <v>3746</v>
      </c>
      <c r="V596" t="s">
        <v>3746</v>
      </c>
      <c r="W596" t="s">
        <v>4334</v>
      </c>
      <c r="X596">
        <v>2</v>
      </c>
      <c r="Y596" t="s">
        <v>6191</v>
      </c>
      <c r="Z596" t="s">
        <v>7984</v>
      </c>
      <c r="AA596">
        <v>1.290991488687782</v>
      </c>
      <c r="AB596" t="str">
        <f>HYPERLINK("Melting_Curves/meltCurve_K7ES02_BLMH.pdf", "Melting_Curves/meltCurve_K7ES02_BLMH.pdf")</f>
        <v>Melting_Curves/meltCurve_K7ES02_BLMH.pdf</v>
      </c>
    </row>
    <row r="597" spans="1:28" x14ac:dyDescent="0.25">
      <c r="A597" t="s">
        <v>601</v>
      </c>
      <c r="B597">
        <v>1</v>
      </c>
      <c r="C597">
        <v>1.77976318622174</v>
      </c>
      <c r="D597">
        <v>2.6627197703624002</v>
      </c>
      <c r="E597">
        <v>2.1379978471474699</v>
      </c>
      <c r="F597">
        <v>2.2376749192680299</v>
      </c>
      <c r="G597">
        <v>2.0958019375672801</v>
      </c>
      <c r="H597">
        <v>1.9270900609974899</v>
      </c>
      <c r="I597">
        <v>1.91051309651956</v>
      </c>
      <c r="J597">
        <v>1.6094007893792599</v>
      </c>
      <c r="K597">
        <v>1.94589163975601</v>
      </c>
      <c r="L597">
        <v>1.0000000000000001E-5</v>
      </c>
      <c r="M597">
        <v>28.946684265852198</v>
      </c>
      <c r="Q597">
        <v>1.5</v>
      </c>
      <c r="R597">
        <v>-1.0955074792677499</v>
      </c>
      <c r="S597" t="s">
        <v>2471</v>
      </c>
      <c r="T597" t="s">
        <v>3746</v>
      </c>
      <c r="U597" t="s">
        <v>3746</v>
      </c>
      <c r="V597" t="s">
        <v>3746</v>
      </c>
      <c r="W597" t="s">
        <v>4335</v>
      </c>
      <c r="X597">
        <v>1</v>
      </c>
      <c r="Y597" t="s">
        <v>6192</v>
      </c>
      <c r="Z597" t="s">
        <v>7985</v>
      </c>
      <c r="AA597">
        <v>1.4999999999998661</v>
      </c>
      <c r="AB597" t="str">
        <f>HYPERLINK("Melting_Curves/meltCurve_K7ES31_EIF3K.pdf", "Melting_Curves/meltCurve_K7ES31_EIF3K.pdf")</f>
        <v>Melting_Curves/meltCurve_K7ES31_EIF3K.pdf</v>
      </c>
    </row>
    <row r="598" spans="1:28" x14ac:dyDescent="0.25">
      <c r="A598" t="s">
        <v>602</v>
      </c>
      <c r="B598">
        <v>1</v>
      </c>
      <c r="C598">
        <v>1.2333814712704001</v>
      </c>
      <c r="D598">
        <v>1.7782372762680001</v>
      </c>
      <c r="E598">
        <v>2.1153122401645401</v>
      </c>
      <c r="F598">
        <v>1.54002013041005</v>
      </c>
      <c r="G598">
        <v>1.9346855717474101</v>
      </c>
      <c r="H598">
        <v>1.0623823902673799</v>
      </c>
      <c r="I598">
        <v>1.6002144326287699</v>
      </c>
      <c r="J598">
        <v>1.6008270972823899</v>
      </c>
      <c r="K598">
        <v>1.5369130453809501</v>
      </c>
      <c r="L598">
        <v>10730.711882657701</v>
      </c>
      <c r="M598">
        <v>250</v>
      </c>
      <c r="O598">
        <v>42.920100770225098</v>
      </c>
      <c r="P598">
        <v>0.72809708011646701</v>
      </c>
      <c r="Q598">
        <v>1.5</v>
      </c>
      <c r="R598">
        <v>0.26183303095754101</v>
      </c>
      <c r="S598" t="s">
        <v>2472</v>
      </c>
      <c r="T598" t="s">
        <v>3746</v>
      </c>
      <c r="U598" t="s">
        <v>3746</v>
      </c>
      <c r="V598" t="s">
        <v>3746</v>
      </c>
      <c r="W598" t="s">
        <v>4336</v>
      </c>
      <c r="X598">
        <v>5</v>
      </c>
      <c r="Y598" t="s">
        <v>6193</v>
      </c>
      <c r="Z598" t="s">
        <v>7986</v>
      </c>
      <c r="AA598">
        <v>1.45124820999605</v>
      </c>
      <c r="AB598" t="str">
        <f>HYPERLINK("Melting_Curves/meltCurve_K7ESE3_RAD23A.pdf", "Melting_Curves/meltCurve_K7ESE3_RAD23A.pdf")</f>
        <v>Melting_Curves/meltCurve_K7ESE3_RAD23A.pdf</v>
      </c>
    </row>
    <row r="599" spans="1:28" x14ac:dyDescent="0.25">
      <c r="A599" t="s">
        <v>603</v>
      </c>
      <c r="B599">
        <v>1</v>
      </c>
      <c r="C599">
        <v>0.95085620455078601</v>
      </c>
      <c r="D599">
        <v>1.6062631949331501</v>
      </c>
      <c r="E599">
        <v>1.81757760575495</v>
      </c>
      <c r="F599">
        <v>1.52775822972867</v>
      </c>
      <c r="G599">
        <v>1.9332629603565601</v>
      </c>
      <c r="H599">
        <v>1.2735553991711599</v>
      </c>
      <c r="I599">
        <v>1.9417077175697901</v>
      </c>
      <c r="J599">
        <v>1.99601219798264</v>
      </c>
      <c r="K599">
        <v>1.8884979279067899</v>
      </c>
      <c r="L599">
        <v>11083.448420594999</v>
      </c>
      <c r="M599">
        <v>250</v>
      </c>
      <c r="O599">
        <v>44.330958397092303</v>
      </c>
      <c r="P599">
        <v>0.70492501003753705</v>
      </c>
      <c r="Q599">
        <v>1.5</v>
      </c>
      <c r="R599">
        <v>0.32783989911185002</v>
      </c>
      <c r="S599" t="s">
        <v>2473</v>
      </c>
      <c r="T599" t="s">
        <v>3746</v>
      </c>
      <c r="U599" t="s">
        <v>3746</v>
      </c>
      <c r="V599" t="s">
        <v>3746</v>
      </c>
      <c r="W599" t="s">
        <v>4337</v>
      </c>
      <c r="X599">
        <v>2</v>
      </c>
      <c r="Y599" t="s">
        <v>6194</v>
      </c>
      <c r="Z599" t="s">
        <v>7987</v>
      </c>
      <c r="AA599">
        <v>1.4277312027346989</v>
      </c>
      <c r="AB599" t="str">
        <f>HYPERLINK("Melting_Curves/meltCurve_K7ESI9_DNM2.pdf", "Melting_Curves/meltCurve_K7ESI9_DNM2.pdf")</f>
        <v>Melting_Curves/meltCurve_K7ESI9_DNM2.pdf</v>
      </c>
    </row>
    <row r="600" spans="1:28" x14ac:dyDescent="0.25">
      <c r="A600" t="s">
        <v>604</v>
      </c>
      <c r="B600">
        <v>1</v>
      </c>
      <c r="C600">
        <v>1.0235815256335099</v>
      </c>
      <c r="D600">
        <v>1.3961305452413499</v>
      </c>
      <c r="E600">
        <v>1.89942023320956</v>
      </c>
      <c r="F600">
        <v>1.265650446225</v>
      </c>
      <c r="G600">
        <v>1.5040713960002601</v>
      </c>
      <c r="H600">
        <v>1.2067617744772301</v>
      </c>
      <c r="I600">
        <v>1.562569213732</v>
      </c>
      <c r="J600">
        <v>1.0859227411895001</v>
      </c>
      <c r="K600">
        <v>1.3408898443098201</v>
      </c>
      <c r="L600">
        <v>4012.5693538232099</v>
      </c>
      <c r="M600">
        <v>90.725878501059</v>
      </c>
      <c r="O600">
        <v>44.205909433655698</v>
      </c>
      <c r="P600">
        <v>0.209948660544475</v>
      </c>
      <c r="Q600">
        <v>1.40918746791363</v>
      </c>
      <c r="R600">
        <v>0.36151705646221299</v>
      </c>
      <c r="S600" t="s">
        <v>2474</v>
      </c>
      <c r="T600" t="s">
        <v>3746</v>
      </c>
      <c r="U600" t="s">
        <v>3746</v>
      </c>
      <c r="V600" t="s">
        <v>3746</v>
      </c>
      <c r="W600" t="s">
        <v>4338</v>
      </c>
      <c r="X600">
        <v>1</v>
      </c>
      <c r="Y600" t="s">
        <v>6195</v>
      </c>
      <c r="Z600" t="s">
        <v>7988</v>
      </c>
      <c r="AA600">
        <v>1.351285674692005</v>
      </c>
      <c r="AB600" t="str">
        <f>HYPERLINK("Melting_Curves/meltCurve_M0QX57_KLK3.pdf", "Melting_Curves/meltCurve_M0QX57_KLK3.pdf")</f>
        <v>Melting_Curves/meltCurve_M0QX57_KLK3.pdf</v>
      </c>
    </row>
    <row r="601" spans="1:28" x14ac:dyDescent="0.25">
      <c r="A601" t="s">
        <v>605</v>
      </c>
      <c r="B601">
        <v>1</v>
      </c>
      <c r="C601">
        <v>1.3929892077302799</v>
      </c>
      <c r="D601">
        <v>2.25499874508492</v>
      </c>
      <c r="E601">
        <v>2.8212164310215</v>
      </c>
      <c r="F601">
        <v>1.77896762319083</v>
      </c>
      <c r="G601">
        <v>2.51669037061825</v>
      </c>
      <c r="H601">
        <v>0.44772023759725599</v>
      </c>
      <c r="I601">
        <v>1.9283861792018699</v>
      </c>
      <c r="J601">
        <v>1.8582782565046401</v>
      </c>
      <c r="K601">
        <v>1.59760729523969</v>
      </c>
      <c r="L601">
        <v>1.0000000000000001E-5</v>
      </c>
      <c r="M601">
        <v>22.502334510050101</v>
      </c>
      <c r="Q601">
        <v>1.5</v>
      </c>
      <c r="R601">
        <v>-0.15178485211885701</v>
      </c>
      <c r="S601" t="s">
        <v>2475</v>
      </c>
      <c r="T601" t="s">
        <v>3746</v>
      </c>
      <c r="U601" t="s">
        <v>3746</v>
      </c>
      <c r="V601" t="s">
        <v>3746</v>
      </c>
      <c r="W601" t="s">
        <v>4339</v>
      </c>
      <c r="X601">
        <v>1</v>
      </c>
      <c r="Y601" t="s">
        <v>6196</v>
      </c>
      <c r="Z601" t="s">
        <v>7989</v>
      </c>
      <c r="AA601">
        <v>1.499999999915602</v>
      </c>
      <c r="AB601" t="str">
        <f>HYPERLINK("Melting_Curves/meltCurve_M0QXF7_C19orf10.pdf", "Melting_Curves/meltCurve_M0QXF7_C19orf10.pdf")</f>
        <v>Melting_Curves/meltCurve_M0QXF7_C19orf10.pdf</v>
      </c>
    </row>
    <row r="602" spans="1:28" x14ac:dyDescent="0.25">
      <c r="A602" t="s">
        <v>606</v>
      </c>
      <c r="B602">
        <v>1</v>
      </c>
      <c r="C602">
        <v>0.84852893630779203</v>
      </c>
      <c r="D602">
        <v>0.95780795344325897</v>
      </c>
      <c r="E602">
        <v>0.87609117361784705</v>
      </c>
      <c r="F602">
        <v>0.81199482702877501</v>
      </c>
      <c r="G602">
        <v>0.940672486259295</v>
      </c>
      <c r="H602">
        <v>0.59523116715163304</v>
      </c>
      <c r="I602">
        <v>0.76450048496605205</v>
      </c>
      <c r="J602">
        <v>0.69641933397995504</v>
      </c>
      <c r="K602">
        <v>0.60738764953119995</v>
      </c>
      <c r="L602">
        <v>254.15843259564099</v>
      </c>
      <c r="M602">
        <v>3.0853838016653201</v>
      </c>
      <c r="O602">
        <v>61.3977162220053</v>
      </c>
      <c r="P602">
        <v>-1.29208864486104E-2</v>
      </c>
      <c r="Q602">
        <v>0</v>
      </c>
      <c r="R602">
        <v>0.66592185747999899</v>
      </c>
      <c r="S602" t="s">
        <v>2476</v>
      </c>
      <c r="T602" t="s">
        <v>3746</v>
      </c>
      <c r="U602" t="s">
        <v>3746</v>
      </c>
      <c r="V602" t="s">
        <v>3746</v>
      </c>
      <c r="W602" t="s">
        <v>4340</v>
      </c>
      <c r="X602">
        <v>1</v>
      </c>
      <c r="Y602" t="s">
        <v>6197</v>
      </c>
      <c r="Z602" t="s">
        <v>7990</v>
      </c>
      <c r="AA602">
        <v>0.81459484397075699</v>
      </c>
      <c r="AB602" t="str">
        <f>HYPERLINK("Melting_Curves/meltCurve_M0QY29_LIPE.pdf", "Melting_Curves/meltCurve_M0QY29_LIPE.pdf")</f>
        <v>Melting_Curves/meltCurve_M0QY29_LIPE.pdf</v>
      </c>
    </row>
    <row r="603" spans="1:28" x14ac:dyDescent="0.25">
      <c r="A603" t="s">
        <v>607</v>
      </c>
      <c r="B603">
        <v>1</v>
      </c>
      <c r="C603">
        <v>1.0328439676265799</v>
      </c>
      <c r="D603">
        <v>1.50705815923207</v>
      </c>
      <c r="E603">
        <v>2.05213626952757</v>
      </c>
      <c r="F603">
        <v>1.49425936382458</v>
      </c>
      <c r="G603">
        <v>1.9262187088274001</v>
      </c>
      <c r="H603">
        <v>1.2027103331451201</v>
      </c>
      <c r="I603">
        <v>2.02286843591191</v>
      </c>
      <c r="J603">
        <v>2.0674760022586098</v>
      </c>
      <c r="K603">
        <v>2.0848861283643898</v>
      </c>
      <c r="L603">
        <v>10838.8949193632</v>
      </c>
      <c r="M603">
        <v>250</v>
      </c>
      <c r="O603">
        <v>43.352806378917698</v>
      </c>
      <c r="P603">
        <v>0.72082994137056999</v>
      </c>
      <c r="Q603">
        <v>1.5</v>
      </c>
      <c r="R603">
        <v>0.15379827572140001</v>
      </c>
      <c r="S603" t="s">
        <v>2477</v>
      </c>
      <c r="T603" t="s">
        <v>3746</v>
      </c>
      <c r="U603" t="s">
        <v>3746</v>
      </c>
      <c r="V603" t="s">
        <v>3746</v>
      </c>
      <c r="W603" t="s">
        <v>4341</v>
      </c>
      <c r="X603">
        <v>1</v>
      </c>
      <c r="Y603" t="s">
        <v>6198</v>
      </c>
      <c r="Z603" t="s">
        <v>7991</v>
      </c>
      <c r="AA603">
        <v>1.4440356278567701</v>
      </c>
      <c r="AB603" t="str">
        <f>HYPERLINK("Melting_Curves/meltCurve_M0QYE0_SH3GL1.pdf", "Melting_Curves/meltCurve_M0QYE0_SH3GL1.pdf")</f>
        <v>Melting_Curves/meltCurve_M0QYE0_SH3GL1.pdf</v>
      </c>
    </row>
    <row r="604" spans="1:28" x14ac:dyDescent="0.25">
      <c r="A604" t="s">
        <v>608</v>
      </c>
      <c r="B604">
        <v>1</v>
      </c>
      <c r="C604">
        <v>1.1512216596962399</v>
      </c>
      <c r="D604">
        <v>2.1366537930482501</v>
      </c>
      <c r="E604">
        <v>3.1637084025373698</v>
      </c>
      <c r="F604">
        <v>1.7682548576231201</v>
      </c>
      <c r="G604">
        <v>2.2975406719628602</v>
      </c>
      <c r="H604">
        <v>1.7235307065815499</v>
      </c>
      <c r="I604">
        <v>2.2119944770175901</v>
      </c>
      <c r="J604">
        <v>2.2934384567666499</v>
      </c>
      <c r="K604">
        <v>2.15756508514598</v>
      </c>
      <c r="L604">
        <v>10760.850975850401</v>
      </c>
      <c r="M604">
        <v>250</v>
      </c>
      <c r="O604">
        <v>43.0406655698024</v>
      </c>
      <c r="P604">
        <v>0.72605781733034203</v>
      </c>
      <c r="Q604">
        <v>1.5</v>
      </c>
      <c r="R604">
        <v>-0.58644968329552105</v>
      </c>
      <c r="S604" t="s">
        <v>2478</v>
      </c>
      <c r="T604" t="s">
        <v>3746</v>
      </c>
      <c r="U604" t="s">
        <v>3746</v>
      </c>
      <c r="V604" t="s">
        <v>3746</v>
      </c>
      <c r="W604" t="s">
        <v>4342</v>
      </c>
      <c r="X604">
        <v>1</v>
      </c>
      <c r="Y604" t="s">
        <v>6199</v>
      </c>
      <c r="Z604" t="s">
        <v>7992</v>
      </c>
      <c r="AA604">
        <v>1.449238831344507</v>
      </c>
      <c r="AB604" t="str">
        <f>HYPERLINK("Melting_Curves/meltCurve_M0QYG8_GMFG.pdf", "Melting_Curves/meltCurve_M0QYG8_GMFG.pdf")</f>
        <v>Melting_Curves/meltCurve_M0QYG8_GMFG.pdf</v>
      </c>
    </row>
    <row r="605" spans="1:28" x14ac:dyDescent="0.25">
      <c r="A605" t="s">
        <v>609</v>
      </c>
      <c r="B605">
        <v>1</v>
      </c>
      <c r="C605">
        <v>0.95363543639807702</v>
      </c>
      <c r="D605">
        <v>1.6838408859099501</v>
      </c>
      <c r="E605">
        <v>1.97097479236485</v>
      </c>
      <c r="F605">
        <v>1.7583564039049999</v>
      </c>
      <c r="G605">
        <v>2.01867987760455</v>
      </c>
      <c r="H605">
        <v>1.02348827043567</v>
      </c>
      <c r="I605">
        <v>1.9693428529797501</v>
      </c>
      <c r="J605">
        <v>1.6493370246248</v>
      </c>
      <c r="K605">
        <v>1.4028558939239399</v>
      </c>
      <c r="L605">
        <v>11069.998234291001</v>
      </c>
      <c r="M605">
        <v>250</v>
      </c>
      <c r="O605">
        <v>44.2771485197473</v>
      </c>
      <c r="P605">
        <v>0.70578150210249802</v>
      </c>
      <c r="Q605">
        <v>1.5</v>
      </c>
      <c r="R605">
        <v>0.32978066339893602</v>
      </c>
      <c r="S605" t="s">
        <v>2479</v>
      </c>
      <c r="T605" t="s">
        <v>3746</v>
      </c>
      <c r="U605" t="s">
        <v>3746</v>
      </c>
      <c r="V605" t="s">
        <v>3746</v>
      </c>
      <c r="W605" t="s">
        <v>4343</v>
      </c>
      <c r="X605">
        <v>2</v>
      </c>
      <c r="Y605" t="s">
        <v>6200</v>
      </c>
      <c r="Z605" t="s">
        <v>7993</v>
      </c>
      <c r="AA605">
        <v>1.4286279290313659</v>
      </c>
      <c r="AB605" t="str">
        <f>HYPERLINK("Melting_Curves/meltCurve_M0QYS1_RPL13A.pdf", "Melting_Curves/meltCurve_M0QYS1_RPL13A.pdf")</f>
        <v>Melting_Curves/meltCurve_M0QYS1_RPL13A.pdf</v>
      </c>
    </row>
    <row r="606" spans="1:28" x14ac:dyDescent="0.25">
      <c r="A606" t="s">
        <v>610</v>
      </c>
      <c r="B606">
        <v>1</v>
      </c>
      <c r="C606">
        <v>0.99349643534902798</v>
      </c>
      <c r="D606">
        <v>1.8744422218802901</v>
      </c>
      <c r="E606">
        <v>2.3121505872698398</v>
      </c>
      <c r="F606">
        <v>1.74960250294917</v>
      </c>
      <c r="G606">
        <v>2.3106118890085701</v>
      </c>
      <c r="H606">
        <v>1.2496281479201901</v>
      </c>
      <c r="I606">
        <v>1.7901215571626401</v>
      </c>
      <c r="J606">
        <v>1.6559470687798099</v>
      </c>
      <c r="K606">
        <v>1.5729599425552601</v>
      </c>
      <c r="L606">
        <v>11012.5170523662</v>
      </c>
      <c r="M606">
        <v>250</v>
      </c>
      <c r="O606">
        <v>44.047250173212198</v>
      </c>
      <c r="P606">
        <v>0.70946541577504696</v>
      </c>
      <c r="Q606">
        <v>1.5</v>
      </c>
      <c r="R606">
        <v>0.14119241305682101</v>
      </c>
      <c r="S606" t="s">
        <v>2480</v>
      </c>
      <c r="T606" t="s">
        <v>3746</v>
      </c>
      <c r="U606" t="s">
        <v>3746</v>
      </c>
      <c r="V606" t="s">
        <v>3746</v>
      </c>
      <c r="W606" t="s">
        <v>4344</v>
      </c>
      <c r="X606">
        <v>1</v>
      </c>
      <c r="Y606" t="s">
        <v>6201</v>
      </c>
      <c r="Z606" t="s">
        <v>7994</v>
      </c>
      <c r="AA606">
        <v>1.4324602095834831</v>
      </c>
      <c r="AB606" t="str">
        <f>HYPERLINK("Melting_Curves/meltCurve_M0QZ21_AP2S1.pdf", "Melting_Curves/meltCurve_M0QZ21_AP2S1.pdf")</f>
        <v>Melting_Curves/meltCurve_M0QZ21_AP2S1.pdf</v>
      </c>
    </row>
    <row r="607" spans="1:28" x14ac:dyDescent="0.25">
      <c r="A607" t="s">
        <v>611</v>
      </c>
      <c r="B607">
        <v>1</v>
      </c>
      <c r="C607">
        <v>0.94887373703278699</v>
      </c>
      <c r="D607">
        <v>1.3887126172956199</v>
      </c>
      <c r="E607">
        <v>1.5396611084857901</v>
      </c>
      <c r="F607">
        <v>1.14210490785121</v>
      </c>
      <c r="G607">
        <v>1.1250478183577499</v>
      </c>
      <c r="H607">
        <v>0.77670514638043198</v>
      </c>
      <c r="I607">
        <v>1.20407749949369</v>
      </c>
      <c r="J607">
        <v>1.2194018767299</v>
      </c>
      <c r="K607">
        <v>1.0413375638515701</v>
      </c>
      <c r="L607">
        <v>11069.3008489765</v>
      </c>
      <c r="M607">
        <v>250</v>
      </c>
      <c r="O607">
        <v>44.274366220023197</v>
      </c>
      <c r="P607">
        <v>0.25357314566948602</v>
      </c>
      <c r="Q607">
        <v>1.1796286599757599</v>
      </c>
      <c r="R607">
        <v>0.15358140469124101</v>
      </c>
      <c r="S607" t="s">
        <v>2481</v>
      </c>
      <c r="T607" t="s">
        <v>3746</v>
      </c>
      <c r="U607" t="s">
        <v>3746</v>
      </c>
      <c r="V607" t="s">
        <v>3746</v>
      </c>
      <c r="W607" t="s">
        <v>4345</v>
      </c>
      <c r="X607">
        <v>1</v>
      </c>
      <c r="Y607" t="s">
        <v>6202</v>
      </c>
      <c r="Z607" t="s">
        <v>7995</v>
      </c>
      <c r="AA607">
        <v>1.1540044246381731</v>
      </c>
      <c r="AB607" t="str">
        <f>HYPERLINK("Melting_Curves/meltCurve_M0QZN2_RPS5.pdf", "Melting_Curves/meltCurve_M0QZN2_RPS5.pdf")</f>
        <v>Melting_Curves/meltCurve_M0QZN2_RPS5.pdf</v>
      </c>
    </row>
    <row r="608" spans="1:28" x14ac:dyDescent="0.25">
      <c r="A608" t="s">
        <v>612</v>
      </c>
      <c r="B608">
        <v>1</v>
      </c>
      <c r="C608">
        <v>1.1263410061451899</v>
      </c>
      <c r="D608">
        <v>1.5801999791688399</v>
      </c>
      <c r="E608">
        <v>2.3454848453286101</v>
      </c>
      <c r="F608">
        <v>1.6647224247474199</v>
      </c>
      <c r="G608">
        <v>1.6730028122070599</v>
      </c>
      <c r="H608">
        <v>1.04410998854286</v>
      </c>
      <c r="I608">
        <v>1.7450786376419101</v>
      </c>
      <c r="J608">
        <v>1.7596083741277</v>
      </c>
      <c r="K608">
        <v>1.6960212477866901</v>
      </c>
      <c r="L608">
        <v>10771.518978530999</v>
      </c>
      <c r="M608">
        <v>250</v>
      </c>
      <c r="O608">
        <v>43.083318808304099</v>
      </c>
      <c r="P608">
        <v>0.72533873865938903</v>
      </c>
      <c r="Q608">
        <v>1.5</v>
      </c>
      <c r="R608">
        <v>0.232682889860477</v>
      </c>
      <c r="S608" t="s">
        <v>2482</v>
      </c>
      <c r="T608" t="s">
        <v>3746</v>
      </c>
      <c r="U608" t="s">
        <v>3746</v>
      </c>
      <c r="V608" t="s">
        <v>3746</v>
      </c>
      <c r="W608" t="s">
        <v>4346</v>
      </c>
      <c r="X608">
        <v>2</v>
      </c>
      <c r="Y608" t="s">
        <v>6203</v>
      </c>
      <c r="Z608" t="s">
        <v>7996</v>
      </c>
      <c r="AA608">
        <v>1.448527593724612</v>
      </c>
      <c r="AB608" t="str">
        <f>HYPERLINK("Melting_Curves/meltCurve_M0R081_CLEC11A.pdf", "Melting_Curves/meltCurve_M0R081_CLEC11A.pdf")</f>
        <v>Melting_Curves/meltCurve_M0R081_CLEC11A.pdf</v>
      </c>
    </row>
    <row r="609" spans="1:28" x14ac:dyDescent="0.25">
      <c r="A609" t="s">
        <v>613</v>
      </c>
      <c r="B609">
        <v>1</v>
      </c>
      <c r="C609">
        <v>1.00486055400878</v>
      </c>
      <c r="D609">
        <v>2.33338052317808</v>
      </c>
      <c r="E609">
        <v>3.2892894782376199</v>
      </c>
      <c r="F609">
        <v>3.0527110565806201</v>
      </c>
      <c r="G609">
        <v>2.8586034951945001</v>
      </c>
      <c r="H609">
        <v>2.12904849543045</v>
      </c>
      <c r="I609">
        <v>2.4375127805829502</v>
      </c>
      <c r="J609">
        <v>2.46000660657826</v>
      </c>
      <c r="K609">
        <v>2.0195680556211002</v>
      </c>
      <c r="L609">
        <v>10921.086957736799</v>
      </c>
      <c r="M609">
        <v>250</v>
      </c>
      <c r="O609">
        <v>43.681544901181802</v>
      </c>
      <c r="P609">
        <v>0.71540497901328903</v>
      </c>
      <c r="Q609">
        <v>1.5</v>
      </c>
      <c r="R609">
        <v>-0.98080071228758503</v>
      </c>
      <c r="S609" t="s">
        <v>2483</v>
      </c>
      <c r="T609" t="s">
        <v>3746</v>
      </c>
      <c r="U609" t="s">
        <v>3746</v>
      </c>
      <c r="V609" t="s">
        <v>3746</v>
      </c>
      <c r="W609" t="s">
        <v>4347</v>
      </c>
      <c r="X609">
        <v>5</v>
      </c>
      <c r="Y609" t="s">
        <v>6204</v>
      </c>
      <c r="Z609" t="s">
        <v>7997</v>
      </c>
      <c r="AA609">
        <v>1.4385558701420209</v>
      </c>
      <c r="AB609" t="str">
        <f>HYPERLINK("Melting_Curves/meltCurve_M0R0Y2_NAPA.pdf", "Melting_Curves/meltCurve_M0R0Y2_NAPA.pdf")</f>
        <v>Melting_Curves/meltCurve_M0R0Y2_NAPA.pdf</v>
      </c>
    </row>
    <row r="610" spans="1:28" x14ac:dyDescent="0.25">
      <c r="A610" t="s">
        <v>614</v>
      </c>
      <c r="B610">
        <v>1</v>
      </c>
      <c r="C610">
        <v>1.2334912917717999</v>
      </c>
      <c r="D610">
        <v>2.0124315342482602</v>
      </c>
      <c r="E610">
        <v>2.5189242414917801</v>
      </c>
      <c r="F610">
        <v>1.9146203868956</v>
      </c>
      <c r="G610">
        <v>2.10064209079533</v>
      </c>
      <c r="H610">
        <v>1.67963156707079</v>
      </c>
      <c r="I610">
        <v>2.4659979075635401</v>
      </c>
      <c r="J610">
        <v>2.4641516401009298</v>
      </c>
      <c r="K610">
        <v>2.32014277801711</v>
      </c>
      <c r="L610">
        <v>10730.6740095858</v>
      </c>
      <c r="M610">
        <v>250</v>
      </c>
      <c r="O610">
        <v>42.919949287565103</v>
      </c>
      <c r="P610">
        <v>0.72809964987797904</v>
      </c>
      <c r="Q610">
        <v>1.5</v>
      </c>
      <c r="R610">
        <v>-0.75784391602817502</v>
      </c>
      <c r="S610" t="s">
        <v>2484</v>
      </c>
      <c r="T610" t="s">
        <v>3746</v>
      </c>
      <c r="U610" t="s">
        <v>3746</v>
      </c>
      <c r="V610" t="s">
        <v>3746</v>
      </c>
      <c r="W610" t="s">
        <v>4348</v>
      </c>
      <c r="X610">
        <v>1</v>
      </c>
      <c r="Y610" t="s">
        <v>6205</v>
      </c>
      <c r="Z610" t="s">
        <v>7998</v>
      </c>
      <c r="AA610">
        <v>1.451250735000416</v>
      </c>
      <c r="AB610" t="str">
        <f>HYPERLINK("Melting_Curves/meltCurve_M0R1E0_RAB4B.pdf", "Melting_Curves/meltCurve_M0R1E0_RAB4B.pdf")</f>
        <v>Melting_Curves/meltCurve_M0R1E0_RAB4B.pdf</v>
      </c>
    </row>
    <row r="611" spans="1:28" x14ac:dyDescent="0.25">
      <c r="A611" t="s">
        <v>615</v>
      </c>
      <c r="B611">
        <v>1</v>
      </c>
      <c r="C611">
        <v>0.75155231414812396</v>
      </c>
      <c r="D611">
        <v>1.05526393211626</v>
      </c>
      <c r="E611">
        <v>1.5962899304749101</v>
      </c>
      <c r="F611">
        <v>0.89637819172821698</v>
      </c>
      <c r="G611">
        <v>1.0351496570198699</v>
      </c>
      <c r="H611">
        <v>0.66799832768151601</v>
      </c>
      <c r="I611">
        <v>0.97739273160836804</v>
      </c>
      <c r="J611">
        <v>1.13838435453152</v>
      </c>
      <c r="K611">
        <v>0.84517118037812999</v>
      </c>
      <c r="L611">
        <v>1263.08127985185</v>
      </c>
      <c r="M611">
        <v>22.108985381274099</v>
      </c>
      <c r="O611">
        <v>56.668552891198601</v>
      </c>
      <c r="P611">
        <v>-7.4886074922442102E-3</v>
      </c>
      <c r="Q611">
        <v>0.92322411958272399</v>
      </c>
      <c r="R611">
        <v>3.65933920148366E-2</v>
      </c>
      <c r="S611" t="s">
        <v>2485</v>
      </c>
      <c r="T611" t="s">
        <v>3746</v>
      </c>
      <c r="U611" t="s">
        <v>3746</v>
      </c>
      <c r="V611" t="s">
        <v>3746</v>
      </c>
      <c r="W611" t="s">
        <v>4349</v>
      </c>
      <c r="X611">
        <v>4</v>
      </c>
      <c r="Y611" t="s">
        <v>6206</v>
      </c>
      <c r="Z611" t="s">
        <v>7999</v>
      </c>
      <c r="AA611">
        <v>0.96788477973161258</v>
      </c>
      <c r="AB611" t="str">
        <f>HYPERLINK("Melting_Curves/meltCurve_M0R1L7_CHMP2A.pdf", "Melting_Curves/meltCurve_M0R1L7_CHMP2A.pdf")</f>
        <v>Melting_Curves/meltCurve_M0R1L7_CHMP2A.pdf</v>
      </c>
    </row>
    <row r="612" spans="1:28" x14ac:dyDescent="0.25">
      <c r="A612" t="s">
        <v>616</v>
      </c>
      <c r="B612">
        <v>1</v>
      </c>
      <c r="C612">
        <v>0.80335333190486402</v>
      </c>
      <c r="D612">
        <v>0.88381187058067301</v>
      </c>
      <c r="E612">
        <v>1.11934861795586</v>
      </c>
      <c r="F612">
        <v>0.59577887293764697</v>
      </c>
      <c r="G612">
        <v>0.79810370687807997</v>
      </c>
      <c r="H612">
        <v>0.324217913006214</v>
      </c>
      <c r="I612">
        <v>0.63418684379687196</v>
      </c>
      <c r="J612">
        <v>0.61265266766659499</v>
      </c>
      <c r="K612">
        <v>0.55726376687379497</v>
      </c>
      <c r="L612">
        <v>13056.9406985899</v>
      </c>
      <c r="M612">
        <v>250</v>
      </c>
      <c r="O612">
        <v>52.224399166867897</v>
      </c>
      <c r="P612">
        <v>-0.49633041558035401</v>
      </c>
      <c r="Q612">
        <v>0.585270905605905</v>
      </c>
      <c r="R612">
        <v>0.62761891118969204</v>
      </c>
      <c r="S612" t="s">
        <v>2486</v>
      </c>
      <c r="T612" t="s">
        <v>3746</v>
      </c>
      <c r="U612" t="s">
        <v>3746</v>
      </c>
      <c r="V612" t="s">
        <v>3746</v>
      </c>
      <c r="W612" t="s">
        <v>4350</v>
      </c>
      <c r="X612">
        <v>1</v>
      </c>
      <c r="Y612" t="s">
        <v>6207</v>
      </c>
      <c r="Z612" t="s">
        <v>8000</v>
      </c>
      <c r="AA612">
        <v>0.75434921889535156</v>
      </c>
      <c r="AB612" t="str">
        <f>HYPERLINK("Melting_Curves/meltCurve_M0R2K4_CEACAM1.pdf", "Melting_Curves/meltCurve_M0R2K4_CEACAM1.pdf")</f>
        <v>Melting_Curves/meltCurve_M0R2K4_CEACAM1.pdf</v>
      </c>
    </row>
    <row r="613" spans="1:28" x14ac:dyDescent="0.25">
      <c r="A613" t="s">
        <v>617</v>
      </c>
      <c r="B613">
        <v>1</v>
      </c>
      <c r="C613">
        <v>1.16409342834521</v>
      </c>
      <c r="D613">
        <v>1.2766561097914999</v>
      </c>
      <c r="E613">
        <v>1.4576405384006299</v>
      </c>
      <c r="F613">
        <v>0.87760622855634696</v>
      </c>
      <c r="G613">
        <v>0.78127474267616803</v>
      </c>
      <c r="H613">
        <v>0.87457112694642403</v>
      </c>
      <c r="I613">
        <v>0.99676695698073403</v>
      </c>
      <c r="J613">
        <v>1.1173132752705199</v>
      </c>
      <c r="K613">
        <v>0.89456320929004995</v>
      </c>
      <c r="S613" t="s">
        <v>2487</v>
      </c>
      <c r="T613" t="s">
        <v>3746</v>
      </c>
      <c r="U613" t="s">
        <v>3747</v>
      </c>
      <c r="V613" t="s">
        <v>3746</v>
      </c>
      <c r="W613" t="s">
        <v>4351</v>
      </c>
      <c r="X613">
        <v>1</v>
      </c>
      <c r="Y613" t="s">
        <v>6208</v>
      </c>
      <c r="Z613" t="s">
        <v>8001</v>
      </c>
      <c r="AB613" t="str">
        <f>HYPERLINK("Melting_Curves/meltCurve_M0R2L9_RPS19.pdf", "Melting_Curves/meltCurve_M0R2L9_RPS19.pdf")</f>
        <v>Melting_Curves/meltCurve_M0R2L9_RPS19.pdf</v>
      </c>
    </row>
    <row r="614" spans="1:28" x14ac:dyDescent="0.25">
      <c r="A614" t="s">
        <v>618</v>
      </c>
      <c r="B614">
        <v>1</v>
      </c>
      <c r="C614">
        <v>0.94140910197128302</v>
      </c>
      <c r="D614">
        <v>1.0809807739109301</v>
      </c>
      <c r="E614">
        <v>1.36736432221952</v>
      </c>
      <c r="F614">
        <v>0.94560720369919704</v>
      </c>
      <c r="G614">
        <v>0.87077147724507198</v>
      </c>
      <c r="H614">
        <v>0.56660379654417103</v>
      </c>
      <c r="I614">
        <v>1.0400340715502601</v>
      </c>
      <c r="J614">
        <v>0.80761742516427404</v>
      </c>
      <c r="K614">
        <v>0.96343392552932605</v>
      </c>
      <c r="L614">
        <v>13280.063703153801</v>
      </c>
      <c r="M614">
        <v>250</v>
      </c>
      <c r="O614">
        <v>53.116857624982003</v>
      </c>
      <c r="P614">
        <v>-0.17685990416293099</v>
      </c>
      <c r="Q614">
        <v>0.849692128690411</v>
      </c>
      <c r="R614">
        <v>0.26288633336751799</v>
      </c>
      <c r="S614" t="s">
        <v>2488</v>
      </c>
      <c r="T614" t="s">
        <v>3746</v>
      </c>
      <c r="U614" t="s">
        <v>3746</v>
      </c>
      <c r="V614" t="s">
        <v>3746</v>
      </c>
      <c r="W614" t="s">
        <v>4352</v>
      </c>
      <c r="X614">
        <v>1</v>
      </c>
      <c r="Y614" t="s">
        <v>6209</v>
      </c>
      <c r="Z614" t="s">
        <v>8002</v>
      </c>
      <c r="AA614">
        <v>0.91544206023897035</v>
      </c>
      <c r="AB614" t="str">
        <f>HYPERLINK("Melting_Curves/meltCurve_M0R2Y5_MUC16.pdf", "Melting_Curves/meltCurve_M0R2Y5_MUC16.pdf")</f>
        <v>Melting_Curves/meltCurve_M0R2Y5_MUC16.pdf</v>
      </c>
    </row>
    <row r="615" spans="1:28" x14ac:dyDescent="0.25">
      <c r="A615" t="s">
        <v>619</v>
      </c>
      <c r="B615">
        <v>1</v>
      </c>
      <c r="C615">
        <v>0.94890394154354896</v>
      </c>
      <c r="D615">
        <v>1.15504826924103</v>
      </c>
      <c r="E615">
        <v>1.3275908048429199</v>
      </c>
      <c r="F615">
        <v>1.0013867406261701</v>
      </c>
      <c r="G615">
        <v>0.94565043468984999</v>
      </c>
      <c r="H615">
        <v>0.703290842178249</v>
      </c>
      <c r="I615">
        <v>1.14470105072271</v>
      </c>
      <c r="J615">
        <v>0.96111792628940196</v>
      </c>
      <c r="K615">
        <v>0.77284121819830398</v>
      </c>
      <c r="L615">
        <v>15000</v>
      </c>
      <c r="M615">
        <v>222.30263786608799</v>
      </c>
      <c r="O615">
        <v>67.470122535622707</v>
      </c>
      <c r="P615">
        <v>-0.187174296656309</v>
      </c>
      <c r="Q615">
        <v>0.77276612319259497</v>
      </c>
      <c r="R615">
        <v>0.17719937698573399</v>
      </c>
      <c r="S615" t="s">
        <v>2489</v>
      </c>
      <c r="T615" t="s">
        <v>3746</v>
      </c>
      <c r="U615" t="s">
        <v>3746</v>
      </c>
      <c r="V615" t="s">
        <v>3746</v>
      </c>
      <c r="W615" t="s">
        <v>4353</v>
      </c>
      <c r="X615">
        <v>3</v>
      </c>
      <c r="Y615" t="s">
        <v>6210</v>
      </c>
      <c r="Z615" t="s">
        <v>8003</v>
      </c>
      <c r="AA615">
        <v>0.98091210479583324</v>
      </c>
      <c r="AB615" t="str">
        <f>HYPERLINK("Melting_Curves/meltCurve_M0R3C9_NOTCH3.pdf", "Melting_Curves/meltCurve_M0R3C9_NOTCH3.pdf")</f>
        <v>Melting_Curves/meltCurve_M0R3C9_NOTCH3.pdf</v>
      </c>
    </row>
    <row r="616" spans="1:28" x14ac:dyDescent="0.25">
      <c r="A616" t="s">
        <v>620</v>
      </c>
      <c r="B616">
        <v>1</v>
      </c>
      <c r="C616">
        <v>0.86224413566412705</v>
      </c>
      <c r="D616">
        <v>1.4634194930026401</v>
      </c>
      <c r="E616">
        <v>1.81991135016684</v>
      </c>
      <c r="F616">
        <v>1.24139648388864</v>
      </c>
      <c r="G616">
        <v>1.84551023457343</v>
      </c>
      <c r="H616">
        <v>1.9374470840181299</v>
      </c>
      <c r="I616">
        <v>2.44937496887295</v>
      </c>
      <c r="J616">
        <v>1.92589272374122</v>
      </c>
      <c r="K616">
        <v>1.8553712834304501</v>
      </c>
      <c r="L616">
        <v>11383.201250894699</v>
      </c>
      <c r="M616">
        <v>250</v>
      </c>
      <c r="O616">
        <v>45.529892213316103</v>
      </c>
      <c r="P616">
        <v>0.68636228219731399</v>
      </c>
      <c r="Q616">
        <v>1.5</v>
      </c>
      <c r="R616">
        <v>0.20593444499036301</v>
      </c>
      <c r="S616" t="s">
        <v>2490</v>
      </c>
      <c r="T616" t="s">
        <v>3746</v>
      </c>
      <c r="U616" t="s">
        <v>3746</v>
      </c>
      <c r="V616" t="s">
        <v>3746</v>
      </c>
      <c r="W616" t="s">
        <v>4354</v>
      </c>
      <c r="X616">
        <v>2</v>
      </c>
      <c r="Y616" t="s">
        <v>6211</v>
      </c>
      <c r="Z616" t="s">
        <v>8004</v>
      </c>
      <c r="AA616">
        <v>1.4077466285916209</v>
      </c>
      <c r="AB616" t="str">
        <f>HYPERLINK("Melting_Curves/meltCurve_M0R3D6_RPL18A.pdf", "Melting_Curves/meltCurve_M0R3D6_RPL18A.pdf")</f>
        <v>Melting_Curves/meltCurve_M0R3D6_RPL18A.pdf</v>
      </c>
    </row>
    <row r="617" spans="1:28" x14ac:dyDescent="0.25">
      <c r="A617" t="s">
        <v>621</v>
      </c>
      <c r="B617">
        <v>1</v>
      </c>
      <c r="C617">
        <v>0.98916217794795203</v>
      </c>
      <c r="D617">
        <v>1.2088389902005301</v>
      </c>
      <c r="E617">
        <v>1.3484327341164299</v>
      </c>
      <c r="F617">
        <v>0.97313258485300802</v>
      </c>
      <c r="G617">
        <v>1.0693750405607101</v>
      </c>
      <c r="H617">
        <v>0.67823998961645804</v>
      </c>
      <c r="I617">
        <v>1.0068790966318399</v>
      </c>
      <c r="J617">
        <v>1.1175287169835799</v>
      </c>
      <c r="K617">
        <v>0.95697319748199094</v>
      </c>
      <c r="L617">
        <v>11039.8378127864</v>
      </c>
      <c r="M617">
        <v>250</v>
      </c>
      <c r="O617">
        <v>44.156524918782601</v>
      </c>
      <c r="P617">
        <v>6.3585574919028207E-2</v>
      </c>
      <c r="Q617">
        <v>1.0449234887558001</v>
      </c>
      <c r="R617">
        <v>1.43834691552367E-2</v>
      </c>
      <c r="S617" t="s">
        <v>2491</v>
      </c>
      <c r="T617" t="s">
        <v>3746</v>
      </c>
      <c r="U617" t="s">
        <v>3746</v>
      </c>
      <c r="V617" t="s">
        <v>3746</v>
      </c>
      <c r="W617" t="s">
        <v>4355</v>
      </c>
      <c r="X617">
        <v>6</v>
      </c>
      <c r="Y617" t="s">
        <v>6212</v>
      </c>
      <c r="Z617" t="s">
        <v>8005</v>
      </c>
      <c r="AA617">
        <v>1.0386915882594281</v>
      </c>
      <c r="AB617" t="str">
        <f>HYPERLINK("Melting_Curves/meltCurve_O00161_SNAP23.pdf", "Melting_Curves/meltCurve_O00161_SNAP23.pdf")</f>
        <v>Melting_Curves/meltCurve_O00161_SNAP23.pdf</v>
      </c>
    </row>
    <row r="618" spans="1:28" x14ac:dyDescent="0.25">
      <c r="A618" t="s">
        <v>622</v>
      </c>
      <c r="B618">
        <v>1</v>
      </c>
      <c r="C618">
        <v>0.66784515666231103</v>
      </c>
      <c r="D618">
        <v>1.0057899725873001</v>
      </c>
      <c r="E618">
        <v>1.2034944790305599</v>
      </c>
      <c r="F618">
        <v>0.84636077165475398</v>
      </c>
      <c r="G618">
        <v>1.1400865933953299</v>
      </c>
      <c r="H618">
        <v>0.22910357902287801</v>
      </c>
      <c r="I618">
        <v>1.4656572643660499</v>
      </c>
      <c r="J618">
        <v>0.92257833115568899</v>
      </c>
      <c r="K618">
        <v>0.94660927932774797</v>
      </c>
      <c r="L618">
        <v>10211.766804839401</v>
      </c>
      <c r="M618">
        <v>250</v>
      </c>
      <c r="O618">
        <v>40.8444532879994</v>
      </c>
      <c r="P618">
        <v>-9.7332623136946197E-2</v>
      </c>
      <c r="Q618">
        <v>0.93639203562430096</v>
      </c>
      <c r="R618">
        <v>3.7071192782446301E-3</v>
      </c>
      <c r="S618" t="s">
        <v>2492</v>
      </c>
      <c r="T618" t="s">
        <v>3746</v>
      </c>
      <c r="U618" t="s">
        <v>3746</v>
      </c>
      <c r="V618" t="s">
        <v>3746</v>
      </c>
      <c r="W618" t="s">
        <v>4356</v>
      </c>
      <c r="X618">
        <v>2</v>
      </c>
      <c r="Y618" t="s">
        <v>6213</v>
      </c>
      <c r="Z618" t="s">
        <v>8006</v>
      </c>
      <c r="AA618">
        <v>0.93819425367410636</v>
      </c>
      <c r="AB618" t="str">
        <f>HYPERLINK("Melting_Curves/meltCurve_O00206_2_TLR4.pdf", "Melting_Curves/meltCurve_O00206_2_TLR4.pdf")</f>
        <v>Melting_Curves/meltCurve_O00206_2_TLR4.pdf</v>
      </c>
    </row>
    <row r="619" spans="1:28" x14ac:dyDescent="0.25">
      <c r="A619" t="s">
        <v>623</v>
      </c>
      <c r="B619">
        <v>1</v>
      </c>
      <c r="C619">
        <v>1.1246259483218899</v>
      </c>
      <c r="D619">
        <v>1.91464792579808</v>
      </c>
      <c r="E619">
        <v>3.3817996697170201</v>
      </c>
      <c r="F619">
        <v>3.1426549287904901</v>
      </c>
      <c r="G619">
        <v>3.9327265728795502</v>
      </c>
      <c r="H619">
        <v>2.1364093522231999</v>
      </c>
      <c r="I619">
        <v>4.1592063275264799</v>
      </c>
      <c r="J619">
        <v>4.3362678023765504</v>
      </c>
      <c r="K619">
        <v>3.66340936463985</v>
      </c>
      <c r="L619">
        <v>10772.3016766582</v>
      </c>
      <c r="M619">
        <v>250</v>
      </c>
      <c r="O619">
        <v>43.086449365876597</v>
      </c>
      <c r="P619">
        <v>0.7252860367124</v>
      </c>
      <c r="Q619">
        <v>1.5</v>
      </c>
      <c r="R619">
        <v>-1.3402724485384001</v>
      </c>
      <c r="S619" t="s">
        <v>2493</v>
      </c>
      <c r="T619" t="s">
        <v>3746</v>
      </c>
      <c r="U619" t="s">
        <v>3746</v>
      </c>
      <c r="V619" t="s">
        <v>3746</v>
      </c>
      <c r="W619" t="s">
        <v>4357</v>
      </c>
      <c r="X619">
        <v>5</v>
      </c>
      <c r="Y619" t="s">
        <v>6214</v>
      </c>
      <c r="Z619" t="s">
        <v>8007</v>
      </c>
      <c r="AA619">
        <v>1.4484754111024201</v>
      </c>
      <c r="AB619" t="str">
        <f>HYPERLINK("Melting_Curves/meltCurve_O00231_PSMD11.pdf", "Melting_Curves/meltCurve_O00231_PSMD11.pdf")</f>
        <v>Melting_Curves/meltCurve_O00231_PSMD11.pdf</v>
      </c>
    </row>
    <row r="620" spans="1:28" x14ac:dyDescent="0.25">
      <c r="A620" t="s">
        <v>624</v>
      </c>
      <c r="B620">
        <v>1</v>
      </c>
      <c r="C620">
        <v>0.96447295805739497</v>
      </c>
      <c r="D620">
        <v>2.5640176600441502</v>
      </c>
      <c r="E620">
        <v>2.7953918322295799</v>
      </c>
      <c r="F620">
        <v>3.1116169977924999</v>
      </c>
      <c r="G620">
        <v>3.9686810154525398</v>
      </c>
      <c r="H620">
        <v>1.5137969094922701</v>
      </c>
      <c r="I620">
        <v>3.66418322295806</v>
      </c>
      <c r="J620">
        <v>3.0877483443708602</v>
      </c>
      <c r="K620">
        <v>2.7621412803531999</v>
      </c>
      <c r="L620">
        <v>11025.2954598509</v>
      </c>
      <c r="M620">
        <v>250</v>
      </c>
      <c r="O620">
        <v>44.098359709662702</v>
      </c>
      <c r="P620">
        <v>0.70864313956804503</v>
      </c>
      <c r="Q620">
        <v>1.5</v>
      </c>
      <c r="R620">
        <v>-1.03954222800688</v>
      </c>
      <c r="S620" t="s">
        <v>2494</v>
      </c>
      <c r="T620" t="s">
        <v>3746</v>
      </c>
      <c r="U620" t="s">
        <v>3746</v>
      </c>
      <c r="V620" t="s">
        <v>3746</v>
      </c>
      <c r="W620" t="s">
        <v>4358</v>
      </c>
      <c r="X620">
        <v>1</v>
      </c>
      <c r="Y620" t="s">
        <v>6215</v>
      </c>
      <c r="Z620" t="s">
        <v>8008</v>
      </c>
      <c r="AA620">
        <v>1.431608270899364</v>
      </c>
      <c r="AB620" t="str">
        <f>HYPERLINK("Melting_Curves/meltCurve_O00232_2_PSMD12.pdf", "Melting_Curves/meltCurve_O00232_2_PSMD12.pdf")</f>
        <v>Melting_Curves/meltCurve_O00232_2_PSMD12.pdf</v>
      </c>
    </row>
    <row r="621" spans="1:28" x14ac:dyDescent="0.25">
      <c r="A621" t="s">
        <v>625</v>
      </c>
      <c r="B621">
        <v>1</v>
      </c>
      <c r="C621">
        <v>1.0291477005179701</v>
      </c>
      <c r="D621">
        <v>1.2297598493172199</v>
      </c>
      <c r="E621">
        <v>1.5081305917438399</v>
      </c>
      <c r="F621">
        <v>1.0175482655784001</v>
      </c>
      <c r="G621">
        <v>1.2019934076283201</v>
      </c>
      <c r="H621">
        <v>0.652519227750746</v>
      </c>
      <c r="I621">
        <v>1.0617014597394401</v>
      </c>
      <c r="J621">
        <v>1.1433056035159299</v>
      </c>
      <c r="K621">
        <v>1.00519541673207</v>
      </c>
      <c r="L621">
        <v>10764.6034228357</v>
      </c>
      <c r="M621">
        <v>250</v>
      </c>
      <c r="O621">
        <v>43.055658430257601</v>
      </c>
      <c r="P621">
        <v>0.14881787529631699</v>
      </c>
      <c r="Q621">
        <v>1.10251922513639</v>
      </c>
      <c r="R621">
        <v>3.00516416362391E-2</v>
      </c>
      <c r="S621" t="s">
        <v>2495</v>
      </c>
      <c r="T621" t="s">
        <v>3746</v>
      </c>
      <c r="U621" t="s">
        <v>3746</v>
      </c>
      <c r="V621" t="s">
        <v>3746</v>
      </c>
      <c r="W621" t="s">
        <v>4359</v>
      </c>
      <c r="X621">
        <v>3</v>
      </c>
      <c r="Y621" t="s">
        <v>6216</v>
      </c>
      <c r="Z621" t="s">
        <v>8009</v>
      </c>
      <c r="AA621">
        <v>1.092059938019952</v>
      </c>
      <c r="AB621" t="str">
        <f>HYPERLINK("Melting_Curves/meltCurve_O00264_PGRMC1.pdf", "Melting_Curves/meltCurve_O00264_PGRMC1.pdf")</f>
        <v>Melting_Curves/meltCurve_O00264_PGRMC1.pdf</v>
      </c>
    </row>
    <row r="622" spans="1:28" x14ac:dyDescent="0.25">
      <c r="A622" t="s">
        <v>626</v>
      </c>
      <c r="B622">
        <v>1</v>
      </c>
      <c r="C622">
        <v>1.11449595851761</v>
      </c>
      <c r="D622">
        <v>1.40475827360073</v>
      </c>
      <c r="E622">
        <v>1.7957145035839599</v>
      </c>
      <c r="F622">
        <v>1.3088302577398201</v>
      </c>
      <c r="G622">
        <v>1.5459813939301501</v>
      </c>
      <c r="H622">
        <v>0.86297087082507196</v>
      </c>
      <c r="I622">
        <v>1.4345737379899299</v>
      </c>
      <c r="J622">
        <v>1.2803492450815901</v>
      </c>
      <c r="K622">
        <v>1.2989553149306099</v>
      </c>
      <c r="L622">
        <v>10758.846884505499</v>
      </c>
      <c r="M622">
        <v>250</v>
      </c>
      <c r="O622">
        <v>43.032625752917603</v>
      </c>
      <c r="P622">
        <v>0.53232377548444498</v>
      </c>
      <c r="Q622">
        <v>1.3665167031990599</v>
      </c>
      <c r="R622">
        <v>0.24515430945672201</v>
      </c>
      <c r="S622" t="s">
        <v>2496</v>
      </c>
      <c r="T622" t="s">
        <v>3746</v>
      </c>
      <c r="U622" t="s">
        <v>3746</v>
      </c>
      <c r="V622" t="s">
        <v>3746</v>
      </c>
      <c r="W622" t="s">
        <v>4360</v>
      </c>
      <c r="X622">
        <v>2</v>
      </c>
      <c r="Y622" t="s">
        <v>6217</v>
      </c>
      <c r="Z622" t="s">
        <v>8010</v>
      </c>
      <c r="AA622">
        <v>1.3294050137096589</v>
      </c>
      <c r="AB622" t="str">
        <f>HYPERLINK("Melting_Curves/meltCurve_O00273_2_DFFA.pdf", "Melting_Curves/meltCurve_O00273_2_DFFA.pdf")</f>
        <v>Melting_Curves/meltCurve_O00273_2_DFFA.pdf</v>
      </c>
    </row>
    <row r="623" spans="1:28" x14ac:dyDescent="0.25">
      <c r="A623" t="s">
        <v>627</v>
      </c>
      <c r="B623">
        <v>1</v>
      </c>
      <c r="C623">
        <v>0.99053982535062202</v>
      </c>
      <c r="D623">
        <v>1.9094337126223899</v>
      </c>
      <c r="E623">
        <v>2.4497883037840702</v>
      </c>
      <c r="F623">
        <v>0.52304842550939401</v>
      </c>
      <c r="G623">
        <v>2.7218840963217801</v>
      </c>
      <c r="H623">
        <v>1.72168563111934</v>
      </c>
      <c r="I623">
        <v>1.8274675840169401</v>
      </c>
      <c r="J623">
        <v>2.5330113786716102</v>
      </c>
      <c r="K623">
        <v>2.7326012172532401</v>
      </c>
      <c r="L623">
        <v>11018.078277922101</v>
      </c>
      <c r="M623">
        <v>250</v>
      </c>
      <c r="O623">
        <v>44.069493636279098</v>
      </c>
      <c r="P623">
        <v>0.70910732273014898</v>
      </c>
      <c r="Q623">
        <v>1.5</v>
      </c>
      <c r="R623">
        <v>-0.116460682057604</v>
      </c>
      <c r="S623" t="s">
        <v>2497</v>
      </c>
      <c r="T623" t="s">
        <v>3746</v>
      </c>
      <c r="U623" t="s">
        <v>3746</v>
      </c>
      <c r="V623" t="s">
        <v>3746</v>
      </c>
      <c r="W623" t="s">
        <v>4361</v>
      </c>
      <c r="X623">
        <v>1</v>
      </c>
      <c r="Y623" t="s">
        <v>6218</v>
      </c>
      <c r="Z623" t="s">
        <v>8011</v>
      </c>
      <c r="AA623">
        <v>1.4320894416933749</v>
      </c>
      <c r="AB623" t="str">
        <f>HYPERLINK("Melting_Curves/meltCurve_O00292_2_LEFTY2.pdf", "Melting_Curves/meltCurve_O00292_2_LEFTY2.pdf")</f>
        <v>Melting_Curves/meltCurve_O00292_2_LEFTY2.pdf</v>
      </c>
    </row>
    <row r="624" spans="1:28" x14ac:dyDescent="0.25">
      <c r="A624" t="s">
        <v>628</v>
      </c>
      <c r="B624">
        <v>1</v>
      </c>
      <c r="C624">
        <v>0.89893645449200998</v>
      </c>
      <c r="D624">
        <v>1.49911816578483</v>
      </c>
      <c r="E624">
        <v>1.88862166639944</v>
      </c>
      <c r="F624">
        <v>1.2157554379776601</v>
      </c>
      <c r="G624">
        <v>1.4618139062583499</v>
      </c>
      <c r="H624">
        <v>0.75297953075730895</v>
      </c>
      <c r="I624">
        <v>1.5995938218160399</v>
      </c>
      <c r="J624">
        <v>1.58879803324248</v>
      </c>
      <c r="K624">
        <v>1.45871412538079</v>
      </c>
      <c r="L624">
        <v>11110.000991619099</v>
      </c>
      <c r="M624">
        <v>250</v>
      </c>
      <c r="O624">
        <v>44.437160078215598</v>
      </c>
      <c r="P624">
        <v>0.60926243405120295</v>
      </c>
      <c r="Q624">
        <v>1.43318227669945</v>
      </c>
      <c r="R624">
        <v>0.319795485506494</v>
      </c>
      <c r="S624" t="s">
        <v>2498</v>
      </c>
      <c r="T624" t="s">
        <v>3746</v>
      </c>
      <c r="U624" t="s">
        <v>3746</v>
      </c>
      <c r="V624" t="s">
        <v>3746</v>
      </c>
      <c r="W624" t="s">
        <v>4362</v>
      </c>
      <c r="X624">
        <v>10</v>
      </c>
      <c r="Y624" t="s">
        <v>6219</v>
      </c>
      <c r="Z624" t="s">
        <v>8012</v>
      </c>
      <c r="AA624">
        <v>1.3690374579321829</v>
      </c>
      <c r="AB624" t="str">
        <f>HYPERLINK("Melting_Curves/meltCurve_O00299_CLIC1.pdf", "Melting_Curves/meltCurve_O00299_CLIC1.pdf")</f>
        <v>Melting_Curves/meltCurve_O00299_CLIC1.pdf</v>
      </c>
    </row>
    <row r="625" spans="1:28" x14ac:dyDescent="0.25">
      <c r="A625" t="s">
        <v>629</v>
      </c>
      <c r="B625">
        <v>1</v>
      </c>
      <c r="C625">
        <v>1.09368217513121</v>
      </c>
      <c r="D625">
        <v>1.38956631545716</v>
      </c>
      <c r="E625">
        <v>1.65948462965155</v>
      </c>
      <c r="F625">
        <v>0.96693106033700305</v>
      </c>
      <c r="G625">
        <v>0.91870881180695296</v>
      </c>
      <c r="H625">
        <v>0.85083461583994302</v>
      </c>
      <c r="I625">
        <v>1.009944358944</v>
      </c>
      <c r="J625">
        <v>1.1097036423187701</v>
      </c>
      <c r="K625">
        <v>1.09403733080778</v>
      </c>
      <c r="L625">
        <v>15000</v>
      </c>
      <c r="M625">
        <v>232.153227773601</v>
      </c>
      <c r="O625">
        <v>64.607688798348505</v>
      </c>
      <c r="P625">
        <v>9.1521956666622495E-2</v>
      </c>
      <c r="Q625">
        <v>1.10188139055058</v>
      </c>
      <c r="R625">
        <v>-0.18709302072828199</v>
      </c>
      <c r="S625" t="s">
        <v>2499</v>
      </c>
      <c r="T625" t="s">
        <v>3746</v>
      </c>
      <c r="U625" t="s">
        <v>3746</v>
      </c>
      <c r="V625" t="s">
        <v>3746</v>
      </c>
      <c r="W625" t="s">
        <v>4363</v>
      </c>
      <c r="X625">
        <v>12</v>
      </c>
      <c r="Y625" t="s">
        <v>6220</v>
      </c>
      <c r="Z625" t="s">
        <v>8013</v>
      </c>
      <c r="AA625">
        <v>1.0182828083124229</v>
      </c>
      <c r="AB625" t="str">
        <f>HYPERLINK("Melting_Curves/meltCurve_O00300_TNFRSF11B.pdf", "Melting_Curves/meltCurve_O00300_TNFRSF11B.pdf")</f>
        <v>Melting_Curves/meltCurve_O00300_TNFRSF11B.pdf</v>
      </c>
    </row>
    <row r="626" spans="1:28" x14ac:dyDescent="0.25">
      <c r="A626" t="s">
        <v>630</v>
      </c>
      <c r="B626">
        <v>1</v>
      </c>
      <c r="C626">
        <v>1.04268786461518</v>
      </c>
      <c r="D626">
        <v>1.5839296633558599</v>
      </c>
      <c r="E626">
        <v>1.76254772017386</v>
      </c>
      <c r="F626">
        <v>1.3018228693252201</v>
      </c>
      <c r="G626">
        <v>1.5917797352459999</v>
      </c>
      <c r="H626">
        <v>0.90822852798757203</v>
      </c>
      <c r="I626">
        <v>1.32838090201458</v>
      </c>
      <c r="J626">
        <v>1.2849989257796399</v>
      </c>
      <c r="K626">
        <v>1.1983506585797199</v>
      </c>
      <c r="L626">
        <v>10812.3872052801</v>
      </c>
      <c r="M626">
        <v>250</v>
      </c>
      <c r="O626">
        <v>43.246780367406103</v>
      </c>
      <c r="P626">
        <v>0.53472891999050798</v>
      </c>
      <c r="Q626">
        <v>1.37000487269427</v>
      </c>
      <c r="R626">
        <v>0.27885960233878099</v>
      </c>
      <c r="S626" t="s">
        <v>2500</v>
      </c>
      <c r="T626" t="s">
        <v>3746</v>
      </c>
      <c r="U626" t="s">
        <v>3746</v>
      </c>
      <c r="V626" t="s">
        <v>3746</v>
      </c>
      <c r="W626" t="s">
        <v>4364</v>
      </c>
      <c r="X626">
        <v>33</v>
      </c>
      <c r="Y626" t="s">
        <v>6221</v>
      </c>
      <c r="Z626" t="s">
        <v>8014</v>
      </c>
      <c r="AA626">
        <v>1.3298984918804571</v>
      </c>
      <c r="AB626" t="str">
        <f>HYPERLINK("Melting_Curves/meltCurve_O00391_QSOX1.pdf", "Melting_Curves/meltCurve_O00391_QSOX1.pdf")</f>
        <v>Melting_Curves/meltCurve_O00391_QSOX1.pdf</v>
      </c>
    </row>
    <row r="627" spans="1:28" x14ac:dyDescent="0.25">
      <c r="A627" t="s">
        <v>631</v>
      </c>
      <c r="B627">
        <v>1</v>
      </c>
      <c r="C627">
        <v>1.0102901993726101</v>
      </c>
      <c r="D627">
        <v>1.78529709013112</v>
      </c>
      <c r="E627">
        <v>2.5868563703421801</v>
      </c>
      <c r="F627">
        <v>2.1534604732966698</v>
      </c>
      <c r="G627">
        <v>2.79882922731628</v>
      </c>
      <c r="H627">
        <v>1.97049442832955</v>
      </c>
      <c r="I627">
        <v>3.2579506227933202</v>
      </c>
      <c r="J627">
        <v>3.3907781963275498</v>
      </c>
      <c r="K627">
        <v>2.9833703027996199</v>
      </c>
      <c r="S627" t="s">
        <v>2501</v>
      </c>
      <c r="T627" t="s">
        <v>3746</v>
      </c>
      <c r="U627" t="s">
        <v>3747</v>
      </c>
      <c r="V627" t="s">
        <v>3746</v>
      </c>
      <c r="W627" t="s">
        <v>4365</v>
      </c>
      <c r="X627">
        <v>4</v>
      </c>
      <c r="Y627" t="s">
        <v>6222</v>
      </c>
      <c r="Z627" t="s">
        <v>8015</v>
      </c>
      <c r="AB627" t="str">
        <f>HYPERLINK("Melting_Curves/meltCurve_O00410_IPO5.pdf", "Melting_Curves/meltCurve_O00410_IPO5.pdf")</f>
        <v>Melting_Curves/meltCurve_O00410_IPO5.pdf</v>
      </c>
    </row>
    <row r="628" spans="1:28" x14ac:dyDescent="0.25">
      <c r="A628" t="s">
        <v>632</v>
      </c>
      <c r="B628">
        <v>1</v>
      </c>
      <c r="C628">
        <v>1.03295038505239</v>
      </c>
      <c r="D628">
        <v>1.59891427850019</v>
      </c>
      <c r="E628">
        <v>2.5884989269031702</v>
      </c>
      <c r="F628">
        <v>2.2995202625931102</v>
      </c>
      <c r="G628">
        <v>2.9548668097462398</v>
      </c>
      <c r="H628">
        <v>1.98333543744477</v>
      </c>
      <c r="I628">
        <v>3.3084837773008502</v>
      </c>
      <c r="J628">
        <v>3.3444640828178298</v>
      </c>
      <c r="K628">
        <v>3.02815301098346</v>
      </c>
      <c r="L628">
        <v>10838.74526736</v>
      </c>
      <c r="M628">
        <v>250</v>
      </c>
      <c r="O628">
        <v>43.352207812824702</v>
      </c>
      <c r="P628">
        <v>0.72083989396577197</v>
      </c>
      <c r="Q628">
        <v>1.5</v>
      </c>
      <c r="R628">
        <v>-0.87506122945050002</v>
      </c>
      <c r="S628" t="s">
        <v>2502</v>
      </c>
      <c r="T628" t="s">
        <v>3746</v>
      </c>
      <c r="U628" t="s">
        <v>3746</v>
      </c>
      <c r="V628" t="s">
        <v>3746</v>
      </c>
      <c r="W628" t="s">
        <v>4366</v>
      </c>
      <c r="X628">
        <v>21</v>
      </c>
      <c r="Y628" t="s">
        <v>6223</v>
      </c>
      <c r="Z628" t="s">
        <v>8016</v>
      </c>
      <c r="AA628">
        <v>1.4440456051822499</v>
      </c>
      <c r="AB628" t="str">
        <f>HYPERLINK("Melting_Curves/meltCurve_O00462_MANBA.pdf", "Melting_Curves/meltCurve_O00462_MANBA.pdf")</f>
        <v>Melting_Curves/meltCurve_O00462_MANBA.pdf</v>
      </c>
    </row>
    <row r="629" spans="1:28" x14ac:dyDescent="0.25">
      <c r="A629" t="s">
        <v>633</v>
      </c>
      <c r="B629">
        <v>1</v>
      </c>
      <c r="C629">
        <v>1.1054602675059</v>
      </c>
      <c r="D629">
        <v>1.87228953579858</v>
      </c>
      <c r="E629">
        <v>4.7395751376868596</v>
      </c>
      <c r="F629">
        <v>3.29284028324154</v>
      </c>
      <c r="G629">
        <v>4.0594807238395001</v>
      </c>
      <c r="H629">
        <v>3.0816365066876501</v>
      </c>
      <c r="I629">
        <v>4.99134539732494</v>
      </c>
      <c r="J629">
        <v>5.0527143981117204</v>
      </c>
      <c r="K629">
        <v>4.5435090479937097</v>
      </c>
      <c r="L629">
        <v>10781.601475749199</v>
      </c>
      <c r="M629">
        <v>250</v>
      </c>
      <c r="O629">
        <v>43.123646095540003</v>
      </c>
      <c r="P629">
        <v>0.72466043258116197</v>
      </c>
      <c r="Q629">
        <v>1.5</v>
      </c>
      <c r="R629">
        <v>-1.5588482740410301</v>
      </c>
      <c r="S629" t="s">
        <v>2503</v>
      </c>
      <c r="T629" t="s">
        <v>3746</v>
      </c>
      <c r="U629" t="s">
        <v>3746</v>
      </c>
      <c r="V629" t="s">
        <v>3746</v>
      </c>
      <c r="W629" t="s">
        <v>4367</v>
      </c>
      <c r="X629">
        <v>26</v>
      </c>
      <c r="Y629" t="s">
        <v>6224</v>
      </c>
      <c r="Z629" t="s">
        <v>8017</v>
      </c>
      <c r="AA629">
        <v>1.447855391856455</v>
      </c>
      <c r="AB629" t="str">
        <f>HYPERLINK("Melting_Curves/meltCurve_O00468_2_AGRN.pdf", "Melting_Curves/meltCurve_O00468_2_AGRN.pdf")</f>
        <v>Melting_Curves/meltCurve_O00468_2_AGRN.pdf</v>
      </c>
    </row>
    <row r="630" spans="1:28" x14ac:dyDescent="0.25">
      <c r="A630" t="s">
        <v>634</v>
      </c>
      <c r="B630">
        <v>1</v>
      </c>
      <c r="C630">
        <v>0.996594336868736</v>
      </c>
      <c r="D630">
        <v>1.2587330933151699</v>
      </c>
      <c r="E630">
        <v>1.65739028899484</v>
      </c>
      <c r="F630">
        <v>1.02695339106743</v>
      </c>
      <c r="G630">
        <v>1.7449644837987699</v>
      </c>
      <c r="H630">
        <v>0.51633745256397801</v>
      </c>
      <c r="I630">
        <v>1.6055269047387399</v>
      </c>
      <c r="J630">
        <v>1.4683273328792401</v>
      </c>
      <c r="K630">
        <v>1.72384937238494</v>
      </c>
      <c r="L630">
        <v>346.52040945266401</v>
      </c>
      <c r="M630">
        <v>7.0455454295400299</v>
      </c>
      <c r="O630">
        <v>45.6812577385463</v>
      </c>
      <c r="P630">
        <v>1.9313994693740601E-2</v>
      </c>
      <c r="Q630">
        <v>1.5</v>
      </c>
      <c r="R630">
        <v>0.130525928402182</v>
      </c>
      <c r="S630" t="s">
        <v>2504</v>
      </c>
      <c r="T630" t="s">
        <v>3746</v>
      </c>
      <c r="U630" t="s">
        <v>3746</v>
      </c>
      <c r="V630" t="s">
        <v>3746</v>
      </c>
      <c r="W630" t="s">
        <v>4368</v>
      </c>
      <c r="X630">
        <v>1</v>
      </c>
      <c r="Y630" t="s">
        <v>6225</v>
      </c>
      <c r="Z630" t="s">
        <v>8018</v>
      </c>
      <c r="AA630">
        <v>1.3095506393653029</v>
      </c>
      <c r="AB630" t="str">
        <f>HYPERLINK("Melting_Curves/meltCurve_O00499_9_BIN1.pdf", "Melting_Curves/meltCurve_O00499_9_BIN1.pdf")</f>
        <v>Melting_Curves/meltCurve_O00499_9_BIN1.pdf</v>
      </c>
    </row>
    <row r="631" spans="1:28" x14ac:dyDescent="0.25">
      <c r="A631" t="s">
        <v>635</v>
      </c>
      <c r="B631">
        <v>1</v>
      </c>
      <c r="C631">
        <v>0.731635687732342</v>
      </c>
      <c r="D631">
        <v>0.81606877323420102</v>
      </c>
      <c r="E631">
        <v>1.4843866171003699</v>
      </c>
      <c r="F631">
        <v>0.38803903345724899</v>
      </c>
      <c r="G631">
        <v>0.69065985130111496</v>
      </c>
      <c r="H631">
        <v>0.18643122676579901</v>
      </c>
      <c r="I631">
        <v>0.698615241635688</v>
      </c>
      <c r="J631">
        <v>0.52854089219330902</v>
      </c>
      <c r="K631">
        <v>0.358968401486989</v>
      </c>
      <c r="L631">
        <v>5870.1840745432401</v>
      </c>
      <c r="M631">
        <v>113.3069252777</v>
      </c>
      <c r="N631">
        <v>53.168876545575003</v>
      </c>
      <c r="O631">
        <v>51.791661774545503</v>
      </c>
      <c r="P631">
        <v>-0.28850717646629598</v>
      </c>
      <c r="Q631">
        <v>0.47250281382729098</v>
      </c>
      <c r="R631">
        <v>0.54249657054146705</v>
      </c>
      <c r="S631" t="s">
        <v>2505</v>
      </c>
      <c r="T631" t="s">
        <v>3746</v>
      </c>
      <c r="U631" t="s">
        <v>3746</v>
      </c>
      <c r="V631" t="s">
        <v>3746</v>
      </c>
      <c r="W631" t="s">
        <v>4369</v>
      </c>
      <c r="X631">
        <v>5</v>
      </c>
      <c r="Y631" t="s">
        <v>6025</v>
      </c>
      <c r="Z631" t="s">
        <v>8019</v>
      </c>
      <c r="AA631">
        <v>0.68035611386195527</v>
      </c>
      <c r="AB631" t="str">
        <f>HYPERLINK("Melting_Curves/meltCurve_O00560_SDCBP.pdf", "Melting_Curves/meltCurve_O00560_SDCBP.pdf")</f>
        <v>Melting_Curves/meltCurve_O00560_SDCBP.pdf</v>
      </c>
    </row>
    <row r="632" spans="1:28" x14ac:dyDescent="0.25">
      <c r="A632" t="s">
        <v>636</v>
      </c>
      <c r="B632">
        <v>1</v>
      </c>
      <c r="C632">
        <v>1.1042256649453099</v>
      </c>
      <c r="D632">
        <v>1.5762118940529699</v>
      </c>
      <c r="E632">
        <v>1.9894497195846499</v>
      </c>
      <c r="F632">
        <v>1.5881781331556399</v>
      </c>
      <c r="G632">
        <v>1.96221333777556</v>
      </c>
      <c r="H632">
        <v>1.0129935032483799</v>
      </c>
      <c r="I632">
        <v>1.6280470875673301</v>
      </c>
      <c r="J632">
        <v>1.5735187961574799</v>
      </c>
      <c r="K632">
        <v>1.52745849297573</v>
      </c>
      <c r="L632">
        <v>10782.2408226563</v>
      </c>
      <c r="M632">
        <v>250</v>
      </c>
      <c r="O632">
        <v>43.126203316079803</v>
      </c>
      <c r="P632">
        <v>0.72461746290409201</v>
      </c>
      <c r="Q632">
        <v>1.5</v>
      </c>
      <c r="R632">
        <v>0.35877411985169999</v>
      </c>
      <c r="S632" t="s">
        <v>2506</v>
      </c>
      <c r="T632" t="s">
        <v>3746</v>
      </c>
      <c r="U632" t="s">
        <v>3746</v>
      </c>
      <c r="V632" t="s">
        <v>3746</v>
      </c>
      <c r="W632" t="s">
        <v>4370</v>
      </c>
      <c r="X632">
        <v>2</v>
      </c>
      <c r="Y632" t="s">
        <v>6226</v>
      </c>
      <c r="Z632" t="s">
        <v>8020</v>
      </c>
      <c r="AA632">
        <v>1.4478127664853551</v>
      </c>
      <c r="AB632" t="str">
        <f>HYPERLINK("Melting_Curves/meltCurve_O00622_CYR61.pdf", "Melting_Curves/meltCurve_O00622_CYR61.pdf")</f>
        <v>Melting_Curves/meltCurve_O00622_CYR61.pdf</v>
      </c>
    </row>
    <row r="633" spans="1:28" x14ac:dyDescent="0.25">
      <c r="A633" t="s">
        <v>637</v>
      </c>
      <c r="B633">
        <v>1</v>
      </c>
      <c r="C633">
        <v>1.004992827468</v>
      </c>
      <c r="D633">
        <v>1.34595823164484</v>
      </c>
      <c r="E633">
        <v>2.06159062540753</v>
      </c>
      <c r="F633">
        <v>1.5196825455968099</v>
      </c>
      <c r="G633">
        <v>1.9224248747135599</v>
      </c>
      <c r="H633">
        <v>1.0562438288279901</v>
      </c>
      <c r="I633">
        <v>1.72973526836448</v>
      </c>
      <c r="J633">
        <v>1.7100992976507601</v>
      </c>
      <c r="K633">
        <v>1.54324943644391</v>
      </c>
      <c r="L633">
        <v>11462.781662662799</v>
      </c>
      <c r="M633">
        <v>250</v>
      </c>
      <c r="O633">
        <v>45.848198691540397</v>
      </c>
      <c r="P633">
        <v>0.68159720886513497</v>
      </c>
      <c r="Q633">
        <v>1.5</v>
      </c>
      <c r="R633">
        <v>0.39586060691713998</v>
      </c>
      <c r="S633" t="s">
        <v>2507</v>
      </c>
      <c r="T633" t="s">
        <v>3746</v>
      </c>
      <c r="U633" t="s">
        <v>3746</v>
      </c>
      <c r="V633" t="s">
        <v>3746</v>
      </c>
      <c r="W633" t="s">
        <v>4371</v>
      </c>
      <c r="X633">
        <v>2</v>
      </c>
      <c r="Y633" t="s">
        <v>6227</v>
      </c>
      <c r="Z633" t="s">
        <v>8021</v>
      </c>
      <c r="AA633">
        <v>1.402440988482311</v>
      </c>
      <c r="AB633" t="str">
        <f>HYPERLINK("Melting_Curves/meltCurve_O00625_PIR.pdf", "Melting_Curves/meltCurve_O00625_PIR.pdf")</f>
        <v>Melting_Curves/meltCurve_O00625_PIR.pdf</v>
      </c>
    </row>
    <row r="634" spans="1:28" x14ac:dyDescent="0.25">
      <c r="A634" t="s">
        <v>638</v>
      </c>
      <c r="B634">
        <v>1</v>
      </c>
      <c r="C634">
        <v>0.98185731367078499</v>
      </c>
      <c r="D634">
        <v>1.28891191709845</v>
      </c>
      <c r="E634">
        <v>1.34070944599442</v>
      </c>
      <c r="F634">
        <v>1.0024711040255101</v>
      </c>
      <c r="G634">
        <v>1.2130251096054201</v>
      </c>
      <c r="H634">
        <v>0.62201673973694704</v>
      </c>
      <c r="I634">
        <v>1.0651733758469499</v>
      </c>
      <c r="J634">
        <v>0.99805500199282604</v>
      </c>
      <c r="K634">
        <v>0.90377042646472705</v>
      </c>
      <c r="L634">
        <v>2443.7390545118701</v>
      </c>
      <c r="M634">
        <v>41.600692495248197</v>
      </c>
      <c r="O634">
        <v>58.607509508383103</v>
      </c>
      <c r="P634">
        <v>-1.57009292289709E-2</v>
      </c>
      <c r="Q634">
        <v>0.91152161358766304</v>
      </c>
      <c r="R634">
        <v>1.8429830483385801E-2</v>
      </c>
      <c r="S634" t="s">
        <v>2508</v>
      </c>
      <c r="T634" t="s">
        <v>3746</v>
      </c>
      <c r="U634" t="s">
        <v>3746</v>
      </c>
      <c r="V634" t="s">
        <v>3746</v>
      </c>
      <c r="W634" t="s">
        <v>4372</v>
      </c>
      <c r="X634">
        <v>12</v>
      </c>
      <c r="Y634" t="s">
        <v>6228</v>
      </c>
      <c r="Z634" t="s">
        <v>8022</v>
      </c>
      <c r="AA634">
        <v>0.96712343312470161</v>
      </c>
      <c r="AB634" t="str">
        <f>HYPERLINK("Melting_Curves/meltCurve_O00754_MAN2B1.pdf", "Melting_Curves/meltCurve_O00754_MAN2B1.pdf")</f>
        <v>Melting_Curves/meltCurve_O00754_MAN2B1.pdf</v>
      </c>
    </row>
    <row r="635" spans="1:28" x14ac:dyDescent="0.25">
      <c r="A635" t="s">
        <v>639</v>
      </c>
      <c r="B635">
        <v>1</v>
      </c>
      <c r="C635">
        <v>1.1988974098370799</v>
      </c>
      <c r="D635">
        <v>1.9563275739936601</v>
      </c>
      <c r="E635">
        <v>2.4436539468416001</v>
      </c>
      <c r="F635">
        <v>1.7274015214512299</v>
      </c>
      <c r="G635">
        <v>1.88758508115433</v>
      </c>
      <c r="H635">
        <v>1.28310080384367</v>
      </c>
      <c r="I635">
        <v>1.7970063753118399</v>
      </c>
      <c r="J635">
        <v>1.97462194708799</v>
      </c>
      <c r="K635">
        <v>1.7885675567464301</v>
      </c>
      <c r="L635">
        <v>10742.7889492673</v>
      </c>
      <c r="M635">
        <v>250</v>
      </c>
      <c r="O635">
        <v>42.968405848877602</v>
      </c>
      <c r="P635">
        <v>0.72727855180162504</v>
      </c>
      <c r="Q635">
        <v>1.5</v>
      </c>
      <c r="R635">
        <v>-4.9658838074092299E-2</v>
      </c>
      <c r="S635" t="s">
        <v>2509</v>
      </c>
      <c r="T635" t="s">
        <v>3746</v>
      </c>
      <c r="U635" t="s">
        <v>3746</v>
      </c>
      <c r="V635" t="s">
        <v>3746</v>
      </c>
      <c r="W635" t="s">
        <v>4373</v>
      </c>
      <c r="X635">
        <v>2</v>
      </c>
      <c r="Y635" t="s">
        <v>6229</v>
      </c>
      <c r="Z635" t="s">
        <v>8023</v>
      </c>
      <c r="AA635">
        <v>1.450443029839463</v>
      </c>
      <c r="AB635" t="str">
        <f>HYPERLINK("Melting_Curves/meltCurve_O00757_FBP2.pdf", "Melting_Curves/meltCurve_O00757_FBP2.pdf")</f>
        <v>Melting_Curves/meltCurve_O00757_FBP2.pdf</v>
      </c>
    </row>
    <row r="636" spans="1:28" x14ac:dyDescent="0.25">
      <c r="A636" t="s">
        <v>640</v>
      </c>
      <c r="B636">
        <v>1</v>
      </c>
      <c r="C636">
        <v>1.1566678355262201</v>
      </c>
      <c r="D636">
        <v>1.79247152810599</v>
      </c>
      <c r="E636">
        <v>2.0335106950648698</v>
      </c>
      <c r="F636">
        <v>2.2054855086825902</v>
      </c>
      <c r="G636">
        <v>2.22972663932552</v>
      </c>
      <c r="H636">
        <v>1.0558613224375299</v>
      </c>
      <c r="I636">
        <v>1.99859736854142</v>
      </c>
      <c r="J636">
        <v>2.4324983610556301</v>
      </c>
      <c r="K636">
        <v>1.7160890975896099</v>
      </c>
      <c r="L636">
        <v>10758.6580246617</v>
      </c>
      <c r="M636">
        <v>250</v>
      </c>
      <c r="O636">
        <v>43.031871762868398</v>
      </c>
      <c r="P636">
        <v>0.72620581198073098</v>
      </c>
      <c r="Q636">
        <v>1.5</v>
      </c>
      <c r="R636">
        <v>-0.130569059046451</v>
      </c>
      <c r="S636" t="s">
        <v>2510</v>
      </c>
      <c r="T636" t="s">
        <v>3746</v>
      </c>
      <c r="U636" t="s">
        <v>3746</v>
      </c>
      <c r="V636" t="s">
        <v>3746</v>
      </c>
      <c r="W636" t="s">
        <v>4374</v>
      </c>
      <c r="X636">
        <v>8</v>
      </c>
      <c r="Y636" t="s">
        <v>6230</v>
      </c>
      <c r="Z636" t="s">
        <v>8024</v>
      </c>
      <c r="AA636">
        <v>1.4493850357868481</v>
      </c>
      <c r="AB636" t="str">
        <f>HYPERLINK("Melting_Curves/meltCurve_O00764_PDXK.pdf", "Melting_Curves/meltCurve_O00764_PDXK.pdf")</f>
        <v>Melting_Curves/meltCurve_O00764_PDXK.pdf</v>
      </c>
    </row>
    <row r="637" spans="1:28" x14ac:dyDescent="0.25">
      <c r="A637" t="s">
        <v>641</v>
      </c>
      <c r="B637">
        <v>1</v>
      </c>
      <c r="C637">
        <v>1.2852957766981501</v>
      </c>
      <c r="D637">
        <v>1.9653547318812901</v>
      </c>
      <c r="E637">
        <v>2.6589879360227102</v>
      </c>
      <c r="F637">
        <v>1.8820168495369101</v>
      </c>
      <c r="G637">
        <v>2.41042997252397</v>
      </c>
      <c r="H637">
        <v>1.28820714376695</v>
      </c>
      <c r="I637">
        <v>2.0967301708608499</v>
      </c>
      <c r="J637">
        <v>1.9364230216350999</v>
      </c>
      <c r="K637">
        <v>1.8940262386957101</v>
      </c>
      <c r="L637">
        <v>10712.8050051421</v>
      </c>
      <c r="M637">
        <v>250</v>
      </c>
      <c r="O637">
        <v>42.848468317010699</v>
      </c>
      <c r="P637">
        <v>0.72931412263730899</v>
      </c>
      <c r="Q637">
        <v>1.5</v>
      </c>
      <c r="R637">
        <v>-0.36182655225508398</v>
      </c>
      <c r="S637" t="s">
        <v>2511</v>
      </c>
      <c r="T637" t="s">
        <v>3746</v>
      </c>
      <c r="U637" t="s">
        <v>3746</v>
      </c>
      <c r="V637" t="s">
        <v>3746</v>
      </c>
      <c r="W637" t="s">
        <v>4375</v>
      </c>
      <c r="X637">
        <v>3</v>
      </c>
      <c r="Y637" t="s">
        <v>6231</v>
      </c>
      <c r="Z637" t="s">
        <v>8025</v>
      </c>
      <c r="AA637">
        <v>1.4524420646667009</v>
      </c>
      <c r="AB637" t="str">
        <f>HYPERLINK("Melting_Curves/meltCurve_O14498_ISLR.pdf", "Melting_Curves/meltCurve_O14498_ISLR.pdf")</f>
        <v>Melting_Curves/meltCurve_O14498_ISLR.pdf</v>
      </c>
    </row>
    <row r="638" spans="1:28" x14ac:dyDescent="0.25">
      <c r="A638" t="s">
        <v>642</v>
      </c>
      <c r="B638">
        <v>1</v>
      </c>
      <c r="C638">
        <v>1.1627713144643199</v>
      </c>
      <c r="D638">
        <v>1.61569716964751</v>
      </c>
      <c r="E638">
        <v>2.1267233894773399</v>
      </c>
      <c r="F638">
        <v>1.4943913873936401</v>
      </c>
      <c r="G638">
        <v>1.6133009202986599</v>
      </c>
      <c r="H638">
        <v>1.03132488279215</v>
      </c>
      <c r="I638">
        <v>1.72022920645945</v>
      </c>
      <c r="J638">
        <v>1.49612779996527</v>
      </c>
      <c r="K638">
        <v>1.4116339642299001</v>
      </c>
      <c r="L638">
        <v>10756.248987610499</v>
      </c>
      <c r="M638">
        <v>250</v>
      </c>
      <c r="O638">
        <v>43.022242896287402</v>
      </c>
      <c r="P638">
        <v>0.72636845784522897</v>
      </c>
      <c r="Q638">
        <v>1.5</v>
      </c>
      <c r="R638">
        <v>0.33681247103983802</v>
      </c>
      <c r="S638" t="s">
        <v>2512</v>
      </c>
      <c r="T638" t="s">
        <v>3746</v>
      </c>
      <c r="U638" t="s">
        <v>3746</v>
      </c>
      <c r="V638" t="s">
        <v>3746</v>
      </c>
      <c r="W638" t="s">
        <v>4376</v>
      </c>
      <c r="X638">
        <v>1</v>
      </c>
      <c r="Y638" t="s">
        <v>6232</v>
      </c>
      <c r="Z638" t="s">
        <v>8026</v>
      </c>
      <c r="AA638">
        <v>1.449545646711685</v>
      </c>
      <c r="AB638" t="str">
        <f>HYPERLINK("Melting_Curves/meltCurve_O14657_TOR1B.pdf", "Melting_Curves/meltCurve_O14657_TOR1B.pdf")</f>
        <v>Melting_Curves/meltCurve_O14657_TOR1B.pdf</v>
      </c>
    </row>
    <row r="639" spans="1:28" x14ac:dyDescent="0.25">
      <c r="A639" t="s">
        <v>643</v>
      </c>
      <c r="B639">
        <v>1</v>
      </c>
      <c r="C639">
        <v>0.96041394741748998</v>
      </c>
      <c r="D639">
        <v>1.3612530300205099</v>
      </c>
      <c r="E639">
        <v>1.6042327055752399</v>
      </c>
      <c r="F639">
        <v>0.98500839082602998</v>
      </c>
      <c r="G639">
        <v>1.03071042327056</v>
      </c>
      <c r="H639">
        <v>0.74652246876748096</v>
      </c>
      <c r="I639">
        <v>1.0597613276151401</v>
      </c>
      <c r="J639">
        <v>1.06984896513146</v>
      </c>
      <c r="K639">
        <v>0.96328547454782798</v>
      </c>
      <c r="L639">
        <v>11058.9231073396</v>
      </c>
      <c r="M639">
        <v>250</v>
      </c>
      <c r="O639">
        <v>44.232862080810499</v>
      </c>
      <c r="P639">
        <v>0.14493143061171601</v>
      </c>
      <c r="Q639">
        <v>1.1025717105569</v>
      </c>
      <c r="R639">
        <v>4.53062746231074E-2</v>
      </c>
      <c r="S639" t="s">
        <v>2513</v>
      </c>
      <c r="T639" t="s">
        <v>3746</v>
      </c>
      <c r="U639" t="s">
        <v>3746</v>
      </c>
      <c r="V639" t="s">
        <v>3746</v>
      </c>
      <c r="W639" t="s">
        <v>4377</v>
      </c>
      <c r="X639">
        <v>3</v>
      </c>
      <c r="Y639" t="s">
        <v>6233</v>
      </c>
      <c r="Z639" t="s">
        <v>8027</v>
      </c>
      <c r="AA639">
        <v>1.088081673683168</v>
      </c>
      <c r="AB639" t="str">
        <f>HYPERLINK("Melting_Curves/meltCurve_O14672_ADAM10.pdf", "Melting_Curves/meltCurve_O14672_ADAM10.pdf")</f>
        <v>Melting_Curves/meltCurve_O14672_ADAM10.pdf</v>
      </c>
    </row>
    <row r="640" spans="1:28" x14ac:dyDescent="0.25">
      <c r="A640" t="s">
        <v>644</v>
      </c>
      <c r="B640">
        <v>1</v>
      </c>
      <c r="C640">
        <v>0.86816587579946403</v>
      </c>
      <c r="D640">
        <v>1.07945349930083</v>
      </c>
      <c r="E640">
        <v>1.4121449693968799</v>
      </c>
      <c r="F640">
        <v>0.78871237649863601</v>
      </c>
      <c r="G640">
        <v>0.78123925452169696</v>
      </c>
      <c r="H640">
        <v>0.64511840084359195</v>
      </c>
      <c r="I640">
        <v>0.78658047360337402</v>
      </c>
      <c r="J640">
        <v>0.96641679847786699</v>
      </c>
      <c r="K640">
        <v>0.78000137542122305</v>
      </c>
      <c r="L640">
        <v>12986.270646323301</v>
      </c>
      <c r="M640">
        <v>250</v>
      </c>
      <c r="O640">
        <v>51.941758456201597</v>
      </c>
      <c r="P640">
        <v>-0.25134564733964299</v>
      </c>
      <c r="Q640">
        <v>0.791114641841558</v>
      </c>
      <c r="R640">
        <v>0.42483468602709301</v>
      </c>
      <c r="S640" t="s">
        <v>2514</v>
      </c>
      <c r="T640" t="s">
        <v>3746</v>
      </c>
      <c r="U640" t="s">
        <v>3746</v>
      </c>
      <c r="V640" t="s">
        <v>3746</v>
      </c>
      <c r="W640" t="s">
        <v>4378</v>
      </c>
      <c r="X640">
        <v>20</v>
      </c>
      <c r="Y640" t="s">
        <v>6234</v>
      </c>
      <c r="Z640" t="s">
        <v>8028</v>
      </c>
      <c r="AA640">
        <v>0.87430544622012529</v>
      </c>
      <c r="AB640" t="str">
        <f>HYPERLINK("Melting_Curves/meltCurve_O14745_SLC9A3R1.pdf", "Melting_Curves/meltCurve_O14745_SLC9A3R1.pdf")</f>
        <v>Melting_Curves/meltCurve_O14745_SLC9A3R1.pdf</v>
      </c>
    </row>
    <row r="641" spans="1:28" x14ac:dyDescent="0.25">
      <c r="A641" t="s">
        <v>645</v>
      </c>
      <c r="B641">
        <v>1</v>
      </c>
      <c r="C641">
        <v>1.0818627069890401</v>
      </c>
      <c r="D641">
        <v>1.6667962372696901</v>
      </c>
      <c r="E641">
        <v>2.3054108683821801</v>
      </c>
      <c r="F641">
        <v>2.0265101453782202</v>
      </c>
      <c r="G641">
        <v>2.29674259504004</v>
      </c>
      <c r="H641">
        <v>1.22910674026277</v>
      </c>
      <c r="I641">
        <v>2.1776024255616901</v>
      </c>
      <c r="J641">
        <v>1.95984607012361</v>
      </c>
      <c r="K641">
        <v>1.8113581590608701</v>
      </c>
      <c r="L641">
        <v>10794.9597257557</v>
      </c>
      <c r="M641">
        <v>250</v>
      </c>
      <c r="O641">
        <v>43.177058988827099</v>
      </c>
      <c r="P641">
        <v>0.72376369801823004</v>
      </c>
      <c r="Q641">
        <v>1.5</v>
      </c>
      <c r="R641">
        <v>-0.103610376013776</v>
      </c>
      <c r="S641" t="s">
        <v>2515</v>
      </c>
      <c r="T641" t="s">
        <v>3746</v>
      </c>
      <c r="U641" t="s">
        <v>3746</v>
      </c>
      <c r="V641" t="s">
        <v>3746</v>
      </c>
      <c r="W641" t="s">
        <v>4379</v>
      </c>
      <c r="X641">
        <v>9</v>
      </c>
      <c r="Y641" t="s">
        <v>6235</v>
      </c>
      <c r="Z641" t="s">
        <v>8029</v>
      </c>
      <c r="AA641">
        <v>1.446964794971263</v>
      </c>
      <c r="AB641" t="str">
        <f>HYPERLINK("Melting_Curves/meltCurve_O14773_TPP1.pdf", "Melting_Curves/meltCurve_O14773_TPP1.pdf")</f>
        <v>Melting_Curves/meltCurve_O14773_TPP1.pdf</v>
      </c>
    </row>
    <row r="642" spans="1:28" x14ac:dyDescent="0.25">
      <c r="A642" t="s">
        <v>646</v>
      </c>
      <c r="B642">
        <v>1</v>
      </c>
      <c r="C642">
        <v>1.16954919694646</v>
      </c>
      <c r="D642">
        <v>1.69672608028772</v>
      </c>
      <c r="E642">
        <v>2.34569207171947</v>
      </c>
      <c r="F642">
        <v>1.8980624460076501</v>
      </c>
      <c r="G642">
        <v>2.16357257453148</v>
      </c>
      <c r="H642">
        <v>1.5761887131750101</v>
      </c>
      <c r="I642">
        <v>2.4252040690396899</v>
      </c>
      <c r="J642">
        <v>2.40669240669241</v>
      </c>
      <c r="K642">
        <v>2.2302145589816802</v>
      </c>
      <c r="L642">
        <v>1.0000000000000001E-5</v>
      </c>
      <c r="M642">
        <v>25.814254682731601</v>
      </c>
      <c r="Q642">
        <v>1.5</v>
      </c>
      <c r="R642">
        <v>-0.63797228240291803</v>
      </c>
      <c r="S642" t="s">
        <v>2516</v>
      </c>
      <c r="T642" t="s">
        <v>3746</v>
      </c>
      <c r="U642" t="s">
        <v>3746</v>
      </c>
      <c r="V642" t="s">
        <v>3746</v>
      </c>
      <c r="W642" t="s">
        <v>4380</v>
      </c>
      <c r="X642">
        <v>2</v>
      </c>
      <c r="Y642" t="s">
        <v>6236</v>
      </c>
      <c r="Z642" t="s">
        <v>8030</v>
      </c>
      <c r="AA642">
        <v>1.499999999996924</v>
      </c>
      <c r="AB642" t="str">
        <f>HYPERLINK("Melting_Curves/meltCurve_O14807_MRAS.pdf", "Melting_Curves/meltCurve_O14807_MRAS.pdf")</f>
        <v>Melting_Curves/meltCurve_O14807_MRAS.pdf</v>
      </c>
    </row>
    <row r="643" spans="1:28" x14ac:dyDescent="0.25">
      <c r="A643" t="s">
        <v>647</v>
      </c>
      <c r="B643">
        <v>1</v>
      </c>
      <c r="C643">
        <v>1.07974823178249</v>
      </c>
      <c r="D643">
        <v>2.2583868665239102</v>
      </c>
      <c r="E643">
        <v>3.94166504444877</v>
      </c>
      <c r="F643">
        <v>3.5289728116280599</v>
      </c>
      <c r="G643">
        <v>3.5958081889559401</v>
      </c>
      <c r="H643">
        <v>2.5517487508922199</v>
      </c>
      <c r="I643">
        <v>3.3404710920770899</v>
      </c>
      <c r="J643">
        <v>3.70352345727078</v>
      </c>
      <c r="K643">
        <v>3.5195639478294698</v>
      </c>
      <c r="L643">
        <v>10796.2981500676</v>
      </c>
      <c r="M643">
        <v>250</v>
      </c>
      <c r="O643">
        <v>43.182429077265802</v>
      </c>
      <c r="P643">
        <v>0.72367397423950697</v>
      </c>
      <c r="Q643">
        <v>1.5</v>
      </c>
      <c r="R643">
        <v>-1.6807446164770401</v>
      </c>
      <c r="S643" t="s">
        <v>2517</v>
      </c>
      <c r="T643" t="s">
        <v>3746</v>
      </c>
      <c r="U643" t="s">
        <v>3746</v>
      </c>
      <c r="V643" t="s">
        <v>3746</v>
      </c>
      <c r="W643" t="s">
        <v>4381</v>
      </c>
      <c r="X643">
        <v>6</v>
      </c>
      <c r="Y643" t="s">
        <v>6237</v>
      </c>
      <c r="Z643" t="s">
        <v>8031</v>
      </c>
      <c r="AA643">
        <v>1.446875561986164</v>
      </c>
      <c r="AB643" t="str">
        <f>HYPERLINK("Melting_Curves/meltCurve_O14818_PSMA7.pdf", "Melting_Curves/meltCurve_O14818_PSMA7.pdf")</f>
        <v>Melting_Curves/meltCurve_O14818_PSMA7.pdf</v>
      </c>
    </row>
    <row r="644" spans="1:28" x14ac:dyDescent="0.25">
      <c r="A644" t="s">
        <v>648</v>
      </c>
      <c r="B644">
        <v>1</v>
      </c>
      <c r="C644">
        <v>1.3051621745089099</v>
      </c>
      <c r="D644">
        <v>1.5268958428506201</v>
      </c>
      <c r="E644">
        <v>1.8614093193238901</v>
      </c>
      <c r="F644">
        <v>1.5851987208771099</v>
      </c>
      <c r="G644">
        <v>2.0709227957971699</v>
      </c>
      <c r="H644">
        <v>1.1882708999543199</v>
      </c>
      <c r="I644">
        <v>2.29956601187757</v>
      </c>
      <c r="J644">
        <v>2.13819095477387</v>
      </c>
      <c r="K644">
        <v>1.99543170397442</v>
      </c>
      <c r="S644" t="s">
        <v>2518</v>
      </c>
      <c r="T644" t="s">
        <v>3746</v>
      </c>
      <c r="U644" t="s">
        <v>3747</v>
      </c>
      <c r="V644" t="s">
        <v>3746</v>
      </c>
      <c r="W644" t="s">
        <v>4382</v>
      </c>
      <c r="X644">
        <v>4</v>
      </c>
      <c r="Y644" t="s">
        <v>6238</v>
      </c>
      <c r="Z644" t="s">
        <v>8032</v>
      </c>
      <c r="AB644" t="str">
        <f>HYPERLINK("Melting_Curves/meltCurve_O14841_OPLAH.pdf", "Melting_Curves/meltCurve_O14841_OPLAH.pdf")</f>
        <v>Melting_Curves/meltCurve_O14841_OPLAH.pdf</v>
      </c>
    </row>
    <row r="645" spans="1:28" x14ac:dyDescent="0.25">
      <c r="A645" t="s">
        <v>649</v>
      </c>
      <c r="B645">
        <v>1</v>
      </c>
      <c r="C645">
        <v>0.92808024635991304</v>
      </c>
      <c r="D645">
        <v>1.37743295362813</v>
      </c>
      <c r="E645">
        <v>1.7145035429186499</v>
      </c>
      <c r="F645">
        <v>1.1894340299578401</v>
      </c>
      <c r="G645">
        <v>1.29649893861931</v>
      </c>
      <c r="H645">
        <v>0.79823302538344199</v>
      </c>
      <c r="I645">
        <v>1.2705025861811201</v>
      </c>
      <c r="J645">
        <v>1.0922055789756899</v>
      </c>
      <c r="K645">
        <v>1.153107902054</v>
      </c>
      <c r="L645">
        <v>11084.5166719882</v>
      </c>
      <c r="M645">
        <v>250</v>
      </c>
      <c r="O645">
        <v>44.335229592167899</v>
      </c>
      <c r="P645">
        <v>0.33338214842062303</v>
      </c>
      <c r="Q645">
        <v>1.23648918388314</v>
      </c>
      <c r="R645">
        <v>0.194734368319227</v>
      </c>
      <c r="S645" t="s">
        <v>2519</v>
      </c>
      <c r="T645" t="s">
        <v>3746</v>
      </c>
      <c r="U645" t="s">
        <v>3746</v>
      </c>
      <c r="V645" t="s">
        <v>3746</v>
      </c>
      <c r="W645" t="s">
        <v>4383</v>
      </c>
      <c r="X645">
        <v>5</v>
      </c>
      <c r="Y645" t="s">
        <v>6239</v>
      </c>
      <c r="Z645" t="s">
        <v>8033</v>
      </c>
      <c r="AA645">
        <v>1.2022739203520321</v>
      </c>
      <c r="AB645" t="str">
        <f>HYPERLINK("Melting_Curves/meltCurve_O15031_PLXNB2.pdf", "Melting_Curves/meltCurve_O15031_PLXNB2.pdf")</f>
        <v>Melting_Curves/meltCurve_O15031_PLXNB2.pdf</v>
      </c>
    </row>
    <row r="646" spans="1:28" x14ac:dyDescent="0.25">
      <c r="A646" t="s">
        <v>650</v>
      </c>
      <c r="B646">
        <v>1</v>
      </c>
      <c r="C646">
        <v>1.1870353850728499</v>
      </c>
      <c r="D646">
        <v>1.5327782733670301</v>
      </c>
      <c r="E646">
        <v>1.61803944890475</v>
      </c>
      <c r="F646">
        <v>1.2675983744672401</v>
      </c>
      <c r="G646">
        <v>1.46222618693627</v>
      </c>
      <c r="H646">
        <v>0.60697789671919899</v>
      </c>
      <c r="I646">
        <v>1.2874417682624599</v>
      </c>
      <c r="J646">
        <v>1.1689761125978799</v>
      </c>
      <c r="K646">
        <v>1.16112597878878</v>
      </c>
      <c r="L646">
        <v>10686.427876785199</v>
      </c>
      <c r="M646">
        <v>250</v>
      </c>
      <c r="O646">
        <v>42.742989101183397</v>
      </c>
      <c r="P646">
        <v>0.38477886715097898</v>
      </c>
      <c r="Q646">
        <v>1.2631455026176099</v>
      </c>
      <c r="R646">
        <v>8.4451187465137703E-2</v>
      </c>
      <c r="S646" t="s">
        <v>2520</v>
      </c>
      <c r="T646" t="s">
        <v>3746</v>
      </c>
      <c r="U646" t="s">
        <v>3746</v>
      </c>
      <c r="V646" t="s">
        <v>3746</v>
      </c>
      <c r="W646" t="s">
        <v>4384</v>
      </c>
      <c r="X646">
        <v>1</v>
      </c>
      <c r="Y646" t="s">
        <v>6240</v>
      </c>
      <c r="Z646" t="s">
        <v>8034</v>
      </c>
      <c r="AA646">
        <v>1.239041707420647</v>
      </c>
      <c r="AB646" t="str">
        <f>HYPERLINK("Melting_Curves/meltCurve_O15072_ADAMTS3.pdf", "Melting_Curves/meltCurve_O15072_ADAMTS3.pdf")</f>
        <v>Melting_Curves/meltCurve_O15072_ADAMTS3.pdf</v>
      </c>
    </row>
    <row r="647" spans="1:28" x14ac:dyDescent="0.25">
      <c r="A647" t="s">
        <v>651</v>
      </c>
      <c r="B647">
        <v>1</v>
      </c>
      <c r="C647">
        <v>1.1749892632647501</v>
      </c>
      <c r="D647">
        <v>1.53394760473197</v>
      </c>
      <c r="E647">
        <v>1.8837699605669</v>
      </c>
      <c r="F647">
        <v>1.2884863155428901</v>
      </c>
      <c r="G647">
        <v>1.76160543474017</v>
      </c>
      <c r="H647">
        <v>2.2709171124038598</v>
      </c>
      <c r="I647">
        <v>2.7982274626166399</v>
      </c>
      <c r="J647">
        <v>3.1429742708780699</v>
      </c>
      <c r="K647">
        <v>3.2544801468004501</v>
      </c>
      <c r="L647">
        <v>10751.560826867801</v>
      </c>
      <c r="M647">
        <v>250</v>
      </c>
      <c r="O647">
        <v>43.003504221186901</v>
      </c>
      <c r="P647">
        <v>0.72668518589581599</v>
      </c>
      <c r="Q647">
        <v>1.5</v>
      </c>
      <c r="R647">
        <v>-0.37186559937392399</v>
      </c>
      <c r="S647" t="s">
        <v>2521</v>
      </c>
      <c r="T647" t="s">
        <v>3746</v>
      </c>
      <c r="U647" t="s">
        <v>3746</v>
      </c>
      <c r="V647" t="s">
        <v>3746</v>
      </c>
      <c r="W647" t="s">
        <v>4385</v>
      </c>
      <c r="X647">
        <v>5</v>
      </c>
      <c r="Y647" t="s">
        <v>6241</v>
      </c>
      <c r="Z647" t="s">
        <v>8035</v>
      </c>
      <c r="AA647">
        <v>1.449858207214606</v>
      </c>
      <c r="AB647" t="str">
        <f>HYPERLINK("Melting_Curves/meltCurve_O15143_ARPC1B.pdf", "Melting_Curves/meltCurve_O15143_ARPC1B.pdf")</f>
        <v>Melting_Curves/meltCurve_O15143_ARPC1B.pdf</v>
      </c>
    </row>
    <row r="648" spans="1:28" x14ac:dyDescent="0.25">
      <c r="A648" t="s">
        <v>652</v>
      </c>
      <c r="B648">
        <v>1</v>
      </c>
      <c r="C648">
        <v>1.0328438129572699</v>
      </c>
      <c r="D648">
        <v>1.55126709786873</v>
      </c>
      <c r="E648">
        <v>2.10062559643728</v>
      </c>
      <c r="F648">
        <v>1.8619446506202899</v>
      </c>
      <c r="G648">
        <v>2.52409606616478</v>
      </c>
      <c r="H648">
        <v>1.9366185982398501</v>
      </c>
      <c r="I648">
        <v>2.9108790160110298</v>
      </c>
      <c r="J648">
        <v>3.03069663874457</v>
      </c>
      <c r="K648">
        <v>2.7579259887604701</v>
      </c>
      <c r="L648">
        <v>10838.894599543601</v>
      </c>
      <c r="M648">
        <v>250</v>
      </c>
      <c r="O648">
        <v>43.3528050997298</v>
      </c>
      <c r="P648">
        <v>0.72082996263985599</v>
      </c>
      <c r="Q648">
        <v>1.5</v>
      </c>
      <c r="R648">
        <v>-0.57365722874078195</v>
      </c>
      <c r="S648" t="s">
        <v>2522</v>
      </c>
      <c r="T648" t="s">
        <v>3746</v>
      </c>
      <c r="U648" t="s">
        <v>3746</v>
      </c>
      <c r="V648" t="s">
        <v>3746</v>
      </c>
      <c r="W648" t="s">
        <v>4386</v>
      </c>
      <c r="X648">
        <v>8</v>
      </c>
      <c r="Y648" t="s">
        <v>6242</v>
      </c>
      <c r="Z648" t="s">
        <v>8036</v>
      </c>
      <c r="AA648">
        <v>1.444035649179199</v>
      </c>
      <c r="AB648" t="str">
        <f>HYPERLINK("Melting_Curves/meltCurve_O15144_ARPC2.pdf", "Melting_Curves/meltCurve_O15144_ARPC2.pdf")</f>
        <v>Melting_Curves/meltCurve_O15144_ARPC2.pdf</v>
      </c>
    </row>
    <row r="649" spans="1:28" x14ac:dyDescent="0.25">
      <c r="A649" t="s">
        <v>653</v>
      </c>
      <c r="B649">
        <v>1</v>
      </c>
      <c r="C649">
        <v>0.86986465924561496</v>
      </c>
      <c r="D649">
        <v>1.11123568511252</v>
      </c>
      <c r="E649">
        <v>1.4905501721790699</v>
      </c>
      <c r="F649">
        <v>1.15335949387363</v>
      </c>
      <c r="G649">
        <v>1.3348282213502001</v>
      </c>
      <c r="H649">
        <v>0.93629374549531497</v>
      </c>
      <c r="I649">
        <v>1.3564507087370901</v>
      </c>
      <c r="J649">
        <v>1.5373588532073399</v>
      </c>
      <c r="K649">
        <v>1.3040361976455499</v>
      </c>
      <c r="L649">
        <v>11524.773137521999</v>
      </c>
      <c r="M649">
        <v>250</v>
      </c>
      <c r="O649">
        <v>46.096140334591901</v>
      </c>
      <c r="P649">
        <v>0.40925282916595501</v>
      </c>
      <c r="Q649">
        <v>1.30183962745626</v>
      </c>
      <c r="R649">
        <v>0.441477622574734</v>
      </c>
      <c r="S649" t="s">
        <v>2523</v>
      </c>
      <c r="T649" t="s">
        <v>3746</v>
      </c>
      <c r="U649" t="s">
        <v>3746</v>
      </c>
      <c r="V649" t="s">
        <v>3746</v>
      </c>
      <c r="W649" t="s">
        <v>4387</v>
      </c>
      <c r="X649">
        <v>3</v>
      </c>
      <c r="Y649" t="s">
        <v>6243</v>
      </c>
      <c r="Z649" t="s">
        <v>8037</v>
      </c>
      <c r="AA649">
        <v>1.240450280229547</v>
      </c>
      <c r="AB649" t="str">
        <f>HYPERLINK("Melting_Curves/meltCurve_O15145_ARPC3.pdf", "Melting_Curves/meltCurve_O15145_ARPC3.pdf")</f>
        <v>Melting_Curves/meltCurve_O15145_ARPC3.pdf</v>
      </c>
    </row>
    <row r="650" spans="1:28" x14ac:dyDescent="0.25">
      <c r="A650" t="s">
        <v>654</v>
      </c>
      <c r="B650">
        <v>1</v>
      </c>
      <c r="C650">
        <v>0.89191706730769205</v>
      </c>
      <c r="D650">
        <v>1.0499699519230801</v>
      </c>
      <c r="E650">
        <v>1.2244741586538499</v>
      </c>
      <c r="F650">
        <v>0.76219951923076901</v>
      </c>
      <c r="G650">
        <v>1.0699969951923101</v>
      </c>
      <c r="H650">
        <v>0.441346153846154</v>
      </c>
      <c r="I650">
        <v>0.82228064903846199</v>
      </c>
      <c r="J650">
        <v>0.74137620192307696</v>
      </c>
      <c r="K650">
        <v>0.65770733173076901</v>
      </c>
      <c r="L650">
        <v>14700.760622705</v>
      </c>
      <c r="M650">
        <v>250</v>
      </c>
      <c r="O650">
        <v>58.799265335016898</v>
      </c>
      <c r="P650">
        <v>-0.35536080632759998</v>
      </c>
      <c r="Q650">
        <v>0.66568065017399503</v>
      </c>
      <c r="R650">
        <v>0.56441723053222703</v>
      </c>
      <c r="S650" t="s">
        <v>2524</v>
      </c>
      <c r="T650" t="s">
        <v>3746</v>
      </c>
      <c r="U650" t="s">
        <v>3746</v>
      </c>
      <c r="V650" t="s">
        <v>3746</v>
      </c>
      <c r="W650" t="s">
        <v>4388</v>
      </c>
      <c r="X650">
        <v>3</v>
      </c>
      <c r="Y650" t="s">
        <v>6244</v>
      </c>
      <c r="Z650" t="s">
        <v>8038</v>
      </c>
      <c r="AA650">
        <v>0.87525584941353107</v>
      </c>
      <c r="AB650" t="str">
        <f>HYPERLINK("Melting_Curves/meltCurve_O15204_2_ADAMDEC1.pdf", "Melting_Curves/meltCurve_O15204_2_ADAMDEC1.pdf")</f>
        <v>Melting_Curves/meltCurve_O15204_2_ADAMDEC1.pdf</v>
      </c>
    </row>
    <row r="651" spans="1:28" x14ac:dyDescent="0.25">
      <c r="A651" t="s">
        <v>655</v>
      </c>
      <c r="B651">
        <v>1</v>
      </c>
      <c r="C651">
        <v>1.04176249464685</v>
      </c>
      <c r="D651">
        <v>1.2437070756737001</v>
      </c>
      <c r="E651">
        <v>1.29439941630847</v>
      </c>
      <c r="F651">
        <v>1.0351325201833601</v>
      </c>
      <c r="G651">
        <v>1.25289070058845</v>
      </c>
      <c r="H651">
        <v>0.62767459197106901</v>
      </c>
      <c r="I651">
        <v>1.1156914682696999</v>
      </c>
      <c r="J651">
        <v>1.11080622392818</v>
      </c>
      <c r="K651">
        <v>0.94202737640173195</v>
      </c>
      <c r="L651">
        <v>15000</v>
      </c>
      <c r="M651">
        <v>211.49749517462399</v>
      </c>
      <c r="Q651">
        <v>0</v>
      </c>
      <c r="R651">
        <v>-0.12105965511099499</v>
      </c>
      <c r="S651" t="s">
        <v>2525</v>
      </c>
      <c r="T651" t="s">
        <v>3746</v>
      </c>
      <c r="U651" t="s">
        <v>3746</v>
      </c>
      <c r="V651" t="s">
        <v>3746</v>
      </c>
      <c r="W651" t="s">
        <v>4389</v>
      </c>
      <c r="X651">
        <v>1</v>
      </c>
      <c r="Y651" t="s">
        <v>6245</v>
      </c>
      <c r="Z651" t="s">
        <v>8039</v>
      </c>
      <c r="AA651">
        <v>0.99935587794526282</v>
      </c>
      <c r="AB651" t="str">
        <f>HYPERLINK("Melting_Curves/meltCurve_O15212_PFDN6.pdf", "Melting_Curves/meltCurve_O15212_PFDN6.pdf")</f>
        <v>Melting_Curves/meltCurve_O15212_PFDN6.pdf</v>
      </c>
    </row>
    <row r="652" spans="1:28" x14ac:dyDescent="0.25">
      <c r="A652" t="s">
        <v>656</v>
      </c>
      <c r="B652">
        <v>1</v>
      </c>
      <c r="C652">
        <v>1.1960278565901501</v>
      </c>
      <c r="D652">
        <v>1.7628907074354601</v>
      </c>
      <c r="E652">
        <v>2.7434520599338801</v>
      </c>
      <c r="F652">
        <v>2.3741412057120099</v>
      </c>
      <c r="G652">
        <v>2.1805050765587302</v>
      </c>
      <c r="H652">
        <v>1.60348910826084</v>
      </c>
      <c r="I652">
        <v>2.5441414401950899</v>
      </c>
      <c r="J652">
        <v>2.7596313925950202</v>
      </c>
      <c r="K652">
        <v>2.3692170609890502</v>
      </c>
      <c r="L652">
        <v>10743.819322007501</v>
      </c>
      <c r="M652">
        <v>250</v>
      </c>
      <c r="O652">
        <v>42.972527082107298</v>
      </c>
      <c r="P652">
        <v>0.72720880304918201</v>
      </c>
      <c r="Q652">
        <v>1.5</v>
      </c>
      <c r="R652">
        <v>-0.76261706356709702</v>
      </c>
      <c r="S652" t="s">
        <v>2526</v>
      </c>
      <c r="T652" t="s">
        <v>3746</v>
      </c>
      <c r="U652" t="s">
        <v>3746</v>
      </c>
      <c r="V652" t="s">
        <v>3746</v>
      </c>
      <c r="W652" t="s">
        <v>4390</v>
      </c>
      <c r="X652">
        <v>8</v>
      </c>
      <c r="Y652" t="s">
        <v>6246</v>
      </c>
      <c r="Z652" t="s">
        <v>8040</v>
      </c>
      <c r="AA652">
        <v>1.4503743347074149</v>
      </c>
      <c r="AB652" t="str">
        <f>HYPERLINK("Melting_Curves/meltCurve_O15230_LAMA5.pdf", "Melting_Curves/meltCurve_O15230_LAMA5.pdf")</f>
        <v>Melting_Curves/meltCurve_O15230_LAMA5.pdf</v>
      </c>
    </row>
    <row r="653" spans="1:28" x14ac:dyDescent="0.25">
      <c r="A653" t="s">
        <v>657</v>
      </c>
      <c r="B653">
        <v>1</v>
      </c>
      <c r="C653">
        <v>1.0126424108783501</v>
      </c>
      <c r="D653">
        <v>1.58147739801544</v>
      </c>
      <c r="E653">
        <v>2.1817714075707499</v>
      </c>
      <c r="F653">
        <v>1.5203234105108401</v>
      </c>
      <c r="G653">
        <v>1.9446527012127901</v>
      </c>
      <c r="H653">
        <v>1.10679897096656</v>
      </c>
      <c r="I653">
        <v>1.9059169423006199</v>
      </c>
      <c r="J653">
        <v>1.8500551267916201</v>
      </c>
      <c r="K653">
        <v>1.65924292539508</v>
      </c>
      <c r="L653">
        <v>10881.6526957115</v>
      </c>
      <c r="M653">
        <v>250</v>
      </c>
      <c r="O653">
        <v>43.523849555115497</v>
      </c>
      <c r="P653">
        <v>0.71799754781138703</v>
      </c>
      <c r="Q653">
        <v>1.5</v>
      </c>
      <c r="R653">
        <v>0.27411981569605098</v>
      </c>
      <c r="S653" t="s">
        <v>2527</v>
      </c>
      <c r="T653" t="s">
        <v>3746</v>
      </c>
      <c r="U653" t="s">
        <v>3746</v>
      </c>
      <c r="V653" t="s">
        <v>3746</v>
      </c>
      <c r="W653" t="s">
        <v>4391</v>
      </c>
      <c r="X653">
        <v>13</v>
      </c>
      <c r="Y653" t="s">
        <v>6247</v>
      </c>
      <c r="Z653" t="s">
        <v>8041</v>
      </c>
      <c r="AA653">
        <v>1.441184959356332</v>
      </c>
      <c r="AB653" t="str">
        <f>HYPERLINK("Melting_Curves/meltCurve_O15232_MATN3.pdf", "Melting_Curves/meltCurve_O15232_MATN3.pdf")</f>
        <v>Melting_Curves/meltCurve_O15232_MATN3.pdf</v>
      </c>
    </row>
    <row r="654" spans="1:28" x14ac:dyDescent="0.25">
      <c r="A654" t="s">
        <v>658</v>
      </c>
      <c r="B654">
        <v>1</v>
      </c>
      <c r="C654">
        <v>1.06469178828142</v>
      </c>
      <c r="D654">
        <v>1.4548028751905899</v>
      </c>
      <c r="E654">
        <v>1.68067959050316</v>
      </c>
      <c r="F654">
        <v>1.0087126987584401</v>
      </c>
      <c r="G654">
        <v>0.96093806723299202</v>
      </c>
      <c r="H654">
        <v>0.81231394757859599</v>
      </c>
      <c r="I654">
        <v>1.0084948812894801</v>
      </c>
      <c r="J654">
        <v>1.19509184636608</v>
      </c>
      <c r="K654">
        <v>1.1047702025702499</v>
      </c>
      <c r="L654">
        <v>15000</v>
      </c>
      <c r="M654">
        <v>231.606188365566</v>
      </c>
      <c r="O654">
        <v>64.760279972659006</v>
      </c>
      <c r="P654">
        <v>0.13406308756190699</v>
      </c>
      <c r="Q654">
        <v>1.14994354216266</v>
      </c>
      <c r="R654">
        <v>-0.20465228442677</v>
      </c>
      <c r="S654" t="s">
        <v>2528</v>
      </c>
      <c r="T654" t="s">
        <v>3746</v>
      </c>
      <c r="U654" t="s">
        <v>3746</v>
      </c>
      <c r="V654" t="s">
        <v>3746</v>
      </c>
      <c r="W654" t="s">
        <v>4392</v>
      </c>
      <c r="X654">
        <v>4</v>
      </c>
      <c r="Y654" t="s">
        <v>6248</v>
      </c>
      <c r="Z654" t="s">
        <v>8042</v>
      </c>
      <c r="AA654">
        <v>1.0261447460076101</v>
      </c>
      <c r="AB654" t="str">
        <f>HYPERLINK("Melting_Curves/meltCurve_O15400_2_STX7.pdf", "Melting_Curves/meltCurve_O15400_2_STX7.pdf")</f>
        <v>Melting_Curves/meltCurve_O15400_2_STX7.pdf</v>
      </c>
    </row>
    <row r="655" spans="1:28" x14ac:dyDescent="0.25">
      <c r="A655" t="s">
        <v>659</v>
      </c>
      <c r="B655">
        <v>1</v>
      </c>
      <c r="C655">
        <v>1.13229061790255</v>
      </c>
      <c r="D655">
        <v>1.6846800440188301</v>
      </c>
      <c r="E655">
        <v>2.1409773115736699</v>
      </c>
      <c r="F655">
        <v>1.5468870729822799</v>
      </c>
      <c r="G655">
        <v>2.2955583132360902</v>
      </c>
      <c r="H655">
        <v>1.2757498419536899</v>
      </c>
      <c r="I655">
        <v>2.2553560139548998</v>
      </c>
      <c r="J655">
        <v>2.2376782411201401</v>
      </c>
      <c r="K655">
        <v>2.22892130464305</v>
      </c>
      <c r="L655">
        <v>10768.856281058201</v>
      </c>
      <c r="M655">
        <v>250</v>
      </c>
      <c r="O655">
        <v>43.072668807426403</v>
      </c>
      <c r="P655">
        <v>0.72551808524677897</v>
      </c>
      <c r="Q655">
        <v>1.5</v>
      </c>
      <c r="R655">
        <v>-0.16720352560520199</v>
      </c>
      <c r="S655" t="s">
        <v>2529</v>
      </c>
      <c r="T655" t="s">
        <v>3746</v>
      </c>
      <c r="U655" t="s">
        <v>3746</v>
      </c>
      <c r="V655" t="s">
        <v>3746</v>
      </c>
      <c r="W655" t="s">
        <v>4393</v>
      </c>
      <c r="X655">
        <v>2</v>
      </c>
      <c r="Y655" t="s">
        <v>6249</v>
      </c>
      <c r="Z655" t="s">
        <v>8043</v>
      </c>
      <c r="AA655">
        <v>1.448705116234738</v>
      </c>
      <c r="AB655" t="str">
        <f>HYPERLINK("Melting_Curves/meltCurve_O15511_ARPC5.pdf", "Melting_Curves/meltCurve_O15511_ARPC5.pdf")</f>
        <v>Melting_Curves/meltCurve_O15511_ARPC5.pdf</v>
      </c>
    </row>
    <row r="656" spans="1:28" x14ac:dyDescent="0.25">
      <c r="A656" t="s">
        <v>660</v>
      </c>
      <c r="B656">
        <v>1</v>
      </c>
      <c r="C656">
        <v>1.11342086068563</v>
      </c>
      <c r="D656">
        <v>1.69525893508388</v>
      </c>
      <c r="E656">
        <v>2.2218818380743999</v>
      </c>
      <c r="F656">
        <v>1.9004376367614899</v>
      </c>
      <c r="G656">
        <v>2.0400437636761501</v>
      </c>
      <c r="H656">
        <v>1.0584974471188899</v>
      </c>
      <c r="I656">
        <v>1.6903719912472599</v>
      </c>
      <c r="J656">
        <v>1.8247264770240701</v>
      </c>
      <c r="K656">
        <v>1.58249452954048</v>
      </c>
      <c r="L656">
        <v>10777.605273397099</v>
      </c>
      <c r="M656">
        <v>250</v>
      </c>
      <c r="O656">
        <v>43.1076623291858</v>
      </c>
      <c r="P656">
        <v>0.72492912768102302</v>
      </c>
      <c r="Q656">
        <v>1.5</v>
      </c>
      <c r="R656">
        <v>0.16741919128480101</v>
      </c>
      <c r="S656" t="s">
        <v>2530</v>
      </c>
      <c r="T656" t="s">
        <v>3746</v>
      </c>
      <c r="U656" t="s">
        <v>3746</v>
      </c>
      <c r="V656" t="s">
        <v>3746</v>
      </c>
      <c r="W656" t="s">
        <v>4394</v>
      </c>
      <c r="X656">
        <v>2</v>
      </c>
      <c r="Y656" t="s">
        <v>6250</v>
      </c>
      <c r="Z656" t="s">
        <v>8044</v>
      </c>
      <c r="AA656">
        <v>1.448121819372296</v>
      </c>
      <c r="AB656" t="str">
        <f>HYPERLINK("Melting_Curves/meltCurve_O15540_FABP7.pdf", "Melting_Curves/meltCurve_O15540_FABP7.pdf")</f>
        <v>Melting_Curves/meltCurve_O15540_FABP7.pdf</v>
      </c>
    </row>
    <row r="657" spans="1:28" x14ac:dyDescent="0.25">
      <c r="A657" t="s">
        <v>661</v>
      </c>
      <c r="B657">
        <v>1</v>
      </c>
      <c r="C657">
        <v>1.0902125173948201</v>
      </c>
      <c r="D657">
        <v>1.5399694194856299</v>
      </c>
      <c r="E657">
        <v>1.9860154276977</v>
      </c>
      <c r="F657">
        <v>1.4985654646348401</v>
      </c>
      <c r="G657">
        <v>1.8272716339959101</v>
      </c>
      <c r="H657">
        <v>0.89059735083409197</v>
      </c>
      <c r="I657">
        <v>1.48057793736149</v>
      </c>
      <c r="J657">
        <v>1.3485835037023</v>
      </c>
      <c r="K657">
        <v>1.30017008263611</v>
      </c>
      <c r="L657">
        <v>10788.2158619243</v>
      </c>
      <c r="M657">
        <v>250</v>
      </c>
      <c r="O657">
        <v>43.150102118427299</v>
      </c>
      <c r="P657">
        <v>0.70099611572911702</v>
      </c>
      <c r="Q657">
        <v>1.4839688612045101</v>
      </c>
      <c r="R657">
        <v>0.28652846505212198</v>
      </c>
      <c r="S657" t="s">
        <v>2531</v>
      </c>
      <c r="T657" t="s">
        <v>3746</v>
      </c>
      <c r="U657" t="s">
        <v>3746</v>
      </c>
      <c r="V657" t="s">
        <v>3746</v>
      </c>
      <c r="W657" t="s">
        <v>4395</v>
      </c>
      <c r="X657">
        <v>1</v>
      </c>
      <c r="Y657" t="s">
        <v>6251</v>
      </c>
      <c r="Z657" t="s">
        <v>8045</v>
      </c>
      <c r="AA657">
        <v>1.4330692845654369</v>
      </c>
      <c r="AB657" t="str">
        <f>HYPERLINK("Melting_Curves/meltCurve_O43155_FLRT2.pdf", "Melting_Curves/meltCurve_O43155_FLRT2.pdf")</f>
        <v>Melting_Curves/meltCurve_O43155_FLRT2.pdf</v>
      </c>
    </row>
    <row r="658" spans="1:28" x14ac:dyDescent="0.25">
      <c r="A658" t="s">
        <v>662</v>
      </c>
      <c r="B658">
        <v>1</v>
      </c>
      <c r="C658">
        <v>1.0123374991432299</v>
      </c>
      <c r="D658">
        <v>1.46037149580754</v>
      </c>
      <c r="E658">
        <v>1.8402750805364501</v>
      </c>
      <c r="F658">
        <v>1.4498160798738799</v>
      </c>
      <c r="G658">
        <v>1.57252850190774</v>
      </c>
      <c r="H658">
        <v>1.25979574584752</v>
      </c>
      <c r="I658">
        <v>2.1899289451438202</v>
      </c>
      <c r="J658">
        <v>2.3637734469601801</v>
      </c>
      <c r="K658">
        <v>2.2041170691585399</v>
      </c>
      <c r="L658">
        <v>3995.82830953553</v>
      </c>
      <c r="M658">
        <v>89.340650242379496</v>
      </c>
      <c r="O658">
        <v>44.703362753584003</v>
      </c>
      <c r="P658">
        <v>0.24981526042062799</v>
      </c>
      <c r="Q658">
        <v>1.5</v>
      </c>
      <c r="R658">
        <v>0.13888487651942499</v>
      </c>
      <c r="S658" t="s">
        <v>2532</v>
      </c>
      <c r="T658" t="s">
        <v>3746</v>
      </c>
      <c r="U658" t="s">
        <v>3746</v>
      </c>
      <c r="V658" t="s">
        <v>3746</v>
      </c>
      <c r="W658" t="s">
        <v>4396</v>
      </c>
      <c r="X658">
        <v>12</v>
      </c>
      <c r="Y658" t="s">
        <v>6252</v>
      </c>
      <c r="Z658" t="s">
        <v>8046</v>
      </c>
      <c r="AA658">
        <v>1.4209294144487881</v>
      </c>
      <c r="AB658" t="str">
        <f>HYPERLINK("Melting_Curves/meltCurve_O43175_PHGDH.pdf", "Melting_Curves/meltCurve_O43175_PHGDH.pdf")</f>
        <v>Melting_Curves/meltCurve_O43175_PHGDH.pdf</v>
      </c>
    </row>
    <row r="659" spans="1:28" x14ac:dyDescent="0.25">
      <c r="A659" t="s">
        <v>663</v>
      </c>
      <c r="B659">
        <v>1</v>
      </c>
      <c r="C659">
        <v>1.0455174595642001</v>
      </c>
      <c r="D659">
        <v>1.64110017004785</v>
      </c>
      <c r="E659">
        <v>2.6725194764108</v>
      </c>
      <c r="F659">
        <v>2.2731047573852199</v>
      </c>
      <c r="G659">
        <v>3.0968481828607599</v>
      </c>
      <c r="H659">
        <v>1.9802665401194299</v>
      </c>
      <c r="I659">
        <v>3.1806857278443501</v>
      </c>
      <c r="J659">
        <v>3.3730770751769699</v>
      </c>
      <c r="K659">
        <v>3.1340214339383898</v>
      </c>
      <c r="L659">
        <v>10823.7149533385</v>
      </c>
      <c r="M659">
        <v>250</v>
      </c>
      <c r="O659">
        <v>43.2920889005295</v>
      </c>
      <c r="P659">
        <v>0.72184088577802497</v>
      </c>
      <c r="Q659">
        <v>1.5</v>
      </c>
      <c r="R659">
        <v>-0.91828372496605504</v>
      </c>
      <c r="S659" t="s">
        <v>2533</v>
      </c>
      <c r="T659" t="s">
        <v>3746</v>
      </c>
      <c r="U659" t="s">
        <v>3746</v>
      </c>
      <c r="V659" t="s">
        <v>3746</v>
      </c>
      <c r="W659" t="s">
        <v>4397</v>
      </c>
      <c r="X659">
        <v>5</v>
      </c>
      <c r="Y659" t="s">
        <v>6253</v>
      </c>
      <c r="Z659" t="s">
        <v>8047</v>
      </c>
      <c r="AA659">
        <v>1.445047678872071</v>
      </c>
      <c r="AB659" t="str">
        <f>HYPERLINK("Melting_Curves/meltCurve_O43242_PSMD3.pdf", "Melting_Curves/meltCurve_O43242_PSMD3.pdf")</f>
        <v>Melting_Curves/meltCurve_O43242_PSMD3.pdf</v>
      </c>
    </row>
    <row r="660" spans="1:28" x14ac:dyDescent="0.25">
      <c r="A660" t="s">
        <v>664</v>
      </c>
      <c r="B660">
        <v>1</v>
      </c>
      <c r="C660">
        <v>0.92943732044005301</v>
      </c>
      <c r="D660">
        <v>1.11702053114708</v>
      </c>
      <c r="E660">
        <v>1.3961180015415899</v>
      </c>
      <c r="F660">
        <v>0.96902809894191</v>
      </c>
      <c r="G660">
        <v>1.31826781585033</v>
      </c>
      <c r="H660">
        <v>1.25982762245112</v>
      </c>
      <c r="I660">
        <v>2.7286104687828501</v>
      </c>
      <c r="J660">
        <v>2.9738630789713398</v>
      </c>
      <c r="K660">
        <v>2.7293111905262402</v>
      </c>
      <c r="L660">
        <v>3310.0961651592702</v>
      </c>
      <c r="M660">
        <v>58.551550461522503</v>
      </c>
      <c r="O660">
        <v>56.467190545944199</v>
      </c>
      <c r="P660">
        <v>0.12961415381460101</v>
      </c>
      <c r="Q660">
        <v>1.5</v>
      </c>
      <c r="R660">
        <v>0.109973853262926</v>
      </c>
      <c r="S660" t="s">
        <v>2534</v>
      </c>
      <c r="T660" t="s">
        <v>3746</v>
      </c>
      <c r="U660" t="s">
        <v>3746</v>
      </c>
      <c r="V660" t="s">
        <v>3746</v>
      </c>
      <c r="W660" t="s">
        <v>4398</v>
      </c>
      <c r="X660">
        <v>3</v>
      </c>
      <c r="Y660" t="s">
        <v>6254</v>
      </c>
      <c r="Z660" t="s">
        <v>8048</v>
      </c>
      <c r="AA660">
        <v>1.2235420893706821</v>
      </c>
      <c r="AB660" t="str">
        <f>HYPERLINK("Melting_Curves/meltCurve_O43286_B4GALT5.pdf", "Melting_Curves/meltCurve_O43286_B4GALT5.pdf")</f>
        <v>Melting_Curves/meltCurve_O43286_B4GALT5.pdf</v>
      </c>
    </row>
    <row r="661" spans="1:28" x14ac:dyDescent="0.25">
      <c r="A661" t="s">
        <v>665</v>
      </c>
      <c r="B661">
        <v>1</v>
      </c>
      <c r="C661">
        <v>1.0641220415594199</v>
      </c>
      <c r="D661">
        <v>1.2513026555339299</v>
      </c>
      <c r="E661">
        <v>1.3856488166237699</v>
      </c>
      <c r="F661">
        <v>0.96340008789001197</v>
      </c>
      <c r="G661">
        <v>1.11330278109109</v>
      </c>
      <c r="H661">
        <v>0.33439638395379501</v>
      </c>
      <c r="I661">
        <v>0.93573984556469303</v>
      </c>
      <c r="J661">
        <v>0.96191851340322698</v>
      </c>
      <c r="K661">
        <v>0.82527465628727503</v>
      </c>
      <c r="L661">
        <v>14695.756482663201</v>
      </c>
      <c r="M661">
        <v>250</v>
      </c>
      <c r="O661">
        <v>58.779257478754403</v>
      </c>
      <c r="P661">
        <v>-0.25056749877367002</v>
      </c>
      <c r="Q661">
        <v>0.76434922883455902</v>
      </c>
      <c r="R661">
        <v>0.31049873345004098</v>
      </c>
      <c r="S661" t="s">
        <v>2535</v>
      </c>
      <c r="T661" t="s">
        <v>3746</v>
      </c>
      <c r="U661" t="s">
        <v>3746</v>
      </c>
      <c r="V661" t="s">
        <v>3746</v>
      </c>
      <c r="W661" t="s">
        <v>4399</v>
      </c>
      <c r="X661">
        <v>5</v>
      </c>
      <c r="Y661" t="s">
        <v>6255</v>
      </c>
      <c r="Z661" t="s">
        <v>8049</v>
      </c>
      <c r="AA661">
        <v>0.91191469085735999</v>
      </c>
      <c r="AB661" t="str">
        <f>HYPERLINK("Melting_Curves/meltCurve_O43291_SPINT2.pdf", "Melting_Curves/meltCurve_O43291_SPINT2.pdf")</f>
        <v>Melting_Curves/meltCurve_O43291_SPINT2.pdf</v>
      </c>
    </row>
    <row r="662" spans="1:28" x14ac:dyDescent="0.25">
      <c r="A662" t="s">
        <v>666</v>
      </c>
      <c r="B662">
        <v>1</v>
      </c>
      <c r="C662">
        <v>1.0424323148852901</v>
      </c>
      <c r="D662">
        <v>1.2582363814287301</v>
      </c>
      <c r="E662">
        <v>1.41951179732521</v>
      </c>
      <c r="F662">
        <v>1.1934870066326</v>
      </c>
      <c r="G662">
        <v>1.2971621180819799</v>
      </c>
      <c r="H662">
        <v>0.731488528868109</v>
      </c>
      <c r="I662">
        <v>1.1237088180928601</v>
      </c>
      <c r="J662">
        <v>1.0439273676198799</v>
      </c>
      <c r="K662">
        <v>0.94033380450146797</v>
      </c>
      <c r="L662">
        <v>15000</v>
      </c>
      <c r="M662">
        <v>211.528184692682</v>
      </c>
      <c r="Q662">
        <v>0</v>
      </c>
      <c r="R662">
        <v>-0.30258118729938799</v>
      </c>
      <c r="S662" t="s">
        <v>2536</v>
      </c>
      <c r="T662" t="s">
        <v>3746</v>
      </c>
      <c r="U662" t="s">
        <v>3746</v>
      </c>
      <c r="V662" t="s">
        <v>3746</v>
      </c>
      <c r="W662" t="s">
        <v>4400</v>
      </c>
      <c r="X662">
        <v>4</v>
      </c>
      <c r="Y662" t="s">
        <v>6256</v>
      </c>
      <c r="Z662" t="s">
        <v>8050</v>
      </c>
      <c r="AA662">
        <v>0.99933641165304321</v>
      </c>
      <c r="AB662" t="str">
        <f>HYPERLINK("Melting_Curves/meltCurve_O43399_2_TPD52L2.pdf", "Melting_Curves/meltCurve_O43399_2_TPD52L2.pdf")</f>
        <v>Melting_Curves/meltCurve_O43399_2_TPD52L2.pdf</v>
      </c>
    </row>
    <row r="663" spans="1:28" x14ac:dyDescent="0.25">
      <c r="A663" t="s">
        <v>667</v>
      </c>
      <c r="B663">
        <v>1</v>
      </c>
      <c r="C663">
        <v>0.82869429372931702</v>
      </c>
      <c r="D663">
        <v>1.0582385647813699</v>
      </c>
      <c r="E663">
        <v>0.70922712536325605</v>
      </c>
      <c r="F663">
        <v>0.43170784969175702</v>
      </c>
      <c r="G663">
        <v>0.38699165140851</v>
      </c>
      <c r="H663">
        <v>0.30432883707648101</v>
      </c>
      <c r="I663">
        <v>0.42082276461003498</v>
      </c>
      <c r="J663">
        <v>0.46755471938989801</v>
      </c>
      <c r="K663">
        <v>0.45013522366498099</v>
      </c>
      <c r="L663">
        <v>3427.0115808588698</v>
      </c>
      <c r="M663">
        <v>68.494923684827597</v>
      </c>
      <c r="N663">
        <v>51.301044892983199</v>
      </c>
      <c r="O663">
        <v>49.990476631033602</v>
      </c>
      <c r="P663">
        <v>-0.20277993365248301</v>
      </c>
      <c r="Q663">
        <v>0.40801084207092198</v>
      </c>
      <c r="R663">
        <v>0.925474871938477</v>
      </c>
      <c r="S663" t="s">
        <v>2537</v>
      </c>
      <c r="T663" t="s">
        <v>3746</v>
      </c>
      <c r="U663" t="s">
        <v>3746</v>
      </c>
      <c r="V663" t="s">
        <v>3746</v>
      </c>
      <c r="W663" t="s">
        <v>4401</v>
      </c>
      <c r="X663">
        <v>6</v>
      </c>
      <c r="Y663" t="s">
        <v>6257</v>
      </c>
      <c r="Z663" t="s">
        <v>8051</v>
      </c>
      <c r="AA663">
        <v>0.60668758858896821</v>
      </c>
      <c r="AB663" t="str">
        <f>HYPERLINK("Melting_Curves/meltCurve_O43490_5_PROM1.pdf", "Melting_Curves/meltCurve_O43490_5_PROM1.pdf")</f>
        <v>Melting_Curves/meltCurve_O43490_5_PROM1.pdf</v>
      </c>
    </row>
    <row r="664" spans="1:28" x14ac:dyDescent="0.25">
      <c r="A664" t="s">
        <v>668</v>
      </c>
      <c r="B664">
        <v>1</v>
      </c>
      <c r="C664">
        <v>1.10260717645478</v>
      </c>
      <c r="D664">
        <v>1.2029297137481501</v>
      </c>
      <c r="E664">
        <v>1.5196882139497401</v>
      </c>
      <c r="F664">
        <v>1.1908345652466099</v>
      </c>
      <c r="G664">
        <v>1.40928638623841</v>
      </c>
      <c r="H664">
        <v>1.0868162881333201</v>
      </c>
      <c r="I664">
        <v>1.52009138556646</v>
      </c>
      <c r="J664">
        <v>1.39201720198898</v>
      </c>
      <c r="K664">
        <v>1.1340545625588001</v>
      </c>
      <c r="L664">
        <v>1498.4834627521</v>
      </c>
      <c r="M664">
        <v>33.839603588081999</v>
      </c>
      <c r="O664">
        <v>44.128158698240902</v>
      </c>
      <c r="P664">
        <v>6.09967979364874E-2</v>
      </c>
      <c r="Q664">
        <v>1.3181675009165399</v>
      </c>
      <c r="R664">
        <v>0.36500743727127</v>
      </c>
      <c r="S664" t="s">
        <v>2538</v>
      </c>
      <c r="T664" t="s">
        <v>3746</v>
      </c>
      <c r="U664" t="s">
        <v>3746</v>
      </c>
      <c r="V664" t="s">
        <v>3746</v>
      </c>
      <c r="W664" t="s">
        <v>4402</v>
      </c>
      <c r="X664">
        <v>4</v>
      </c>
      <c r="Y664" t="s">
        <v>6258</v>
      </c>
      <c r="Z664" t="s">
        <v>8052</v>
      </c>
      <c r="AA664">
        <v>1.2711054538881259</v>
      </c>
      <c r="AB664" t="str">
        <f>HYPERLINK("Melting_Curves/meltCurve_O43505_B3GNT1.pdf", "Melting_Curves/meltCurve_O43505_B3GNT1.pdf")</f>
        <v>Melting_Curves/meltCurve_O43505_B3GNT1.pdf</v>
      </c>
    </row>
    <row r="665" spans="1:28" x14ac:dyDescent="0.25">
      <c r="A665" t="s">
        <v>669</v>
      </c>
      <c r="B665">
        <v>1</v>
      </c>
      <c r="C665">
        <v>1.12505293370348</v>
      </c>
      <c r="D665">
        <v>1.51755046346398</v>
      </c>
      <c r="E665">
        <v>1.78798287300616</v>
      </c>
      <c r="F665">
        <v>1.3420458288241699</v>
      </c>
      <c r="G665">
        <v>1.2902884298687201</v>
      </c>
      <c r="H665">
        <v>0.87620571213475695</v>
      </c>
      <c r="I665">
        <v>1.3067566931727299</v>
      </c>
      <c r="J665">
        <v>1.3208723474333</v>
      </c>
      <c r="K665">
        <v>1.20324189526185</v>
      </c>
      <c r="L665">
        <v>10746.322368291099</v>
      </c>
      <c r="M665">
        <v>250</v>
      </c>
      <c r="O665">
        <v>42.982538656803399</v>
      </c>
      <c r="P665">
        <v>0.48074468062397102</v>
      </c>
      <c r="Q665">
        <v>1.3306180290464</v>
      </c>
      <c r="R665">
        <v>0.207431844513527</v>
      </c>
      <c r="S665" t="s">
        <v>2539</v>
      </c>
      <c r="T665" t="s">
        <v>3746</v>
      </c>
      <c r="U665" t="s">
        <v>3746</v>
      </c>
      <c r="V665" t="s">
        <v>3746</v>
      </c>
      <c r="W665" t="s">
        <v>4403</v>
      </c>
      <c r="X665">
        <v>3</v>
      </c>
      <c r="Y665" t="s">
        <v>6259</v>
      </c>
      <c r="Z665" t="s">
        <v>8053</v>
      </c>
      <c r="AA665">
        <v>1.29769340364238</v>
      </c>
      <c r="AB665" t="str">
        <f>HYPERLINK("Melting_Curves/meltCurve_O43508_2_TNFSF12.pdf", "Melting_Curves/meltCurve_O43508_2_TNFSF12.pdf")</f>
        <v>Melting_Curves/meltCurve_O43508_2_TNFSF12.pdf</v>
      </c>
    </row>
    <row r="666" spans="1:28" x14ac:dyDescent="0.25">
      <c r="A666" t="s">
        <v>670</v>
      </c>
      <c r="B666">
        <v>1</v>
      </c>
      <c r="C666">
        <v>0.90259992239037601</v>
      </c>
      <c r="D666">
        <v>1.29700232828871</v>
      </c>
      <c r="E666">
        <v>1.46478463329453</v>
      </c>
      <c r="F666">
        <v>0.80199844780752805</v>
      </c>
      <c r="G666">
        <v>0.72584400465657695</v>
      </c>
      <c r="H666">
        <v>0.56223321691889805</v>
      </c>
      <c r="I666">
        <v>0.90357004268529295</v>
      </c>
      <c r="J666">
        <v>0.97041133100504495</v>
      </c>
      <c r="K666">
        <v>0.89925300737291403</v>
      </c>
      <c r="L666">
        <v>4200.30915471138</v>
      </c>
      <c r="M666">
        <v>80.281476517945407</v>
      </c>
      <c r="O666">
        <v>52.287342247907503</v>
      </c>
      <c r="P666">
        <v>-7.4339814542041693E-2</v>
      </c>
      <c r="Q666">
        <v>0.80632987889477403</v>
      </c>
      <c r="R666">
        <v>0.30042748491819599</v>
      </c>
      <c r="S666" t="s">
        <v>2540</v>
      </c>
      <c r="T666" t="s">
        <v>3746</v>
      </c>
      <c r="U666" t="s">
        <v>3746</v>
      </c>
      <c r="V666" t="s">
        <v>3746</v>
      </c>
      <c r="W666" t="s">
        <v>4404</v>
      </c>
      <c r="X666">
        <v>2</v>
      </c>
      <c r="Y666" t="s">
        <v>6260</v>
      </c>
      <c r="Z666" t="s">
        <v>8054</v>
      </c>
      <c r="AA666">
        <v>0.88603509739559005</v>
      </c>
      <c r="AB666" t="str">
        <f>HYPERLINK("Melting_Curves/meltCurve_O43657_TSPAN6.pdf", "Melting_Curves/meltCurve_O43657_TSPAN6.pdf")</f>
        <v>Melting_Curves/meltCurve_O43657_TSPAN6.pdf</v>
      </c>
    </row>
    <row r="667" spans="1:28" x14ac:dyDescent="0.25">
      <c r="A667" t="s">
        <v>671</v>
      </c>
      <c r="B667">
        <v>1</v>
      </c>
      <c r="C667">
        <v>1.24148158865659</v>
      </c>
      <c r="D667">
        <v>2.0260435506040699</v>
      </c>
      <c r="E667">
        <v>2.6628807060695898</v>
      </c>
      <c r="F667">
        <v>1.9316356796643299</v>
      </c>
      <c r="G667">
        <v>1.8650799392317201</v>
      </c>
      <c r="H667">
        <v>1.61694277653187</v>
      </c>
      <c r="I667">
        <v>2.66917456413224</v>
      </c>
      <c r="J667">
        <v>2.0317586630977398</v>
      </c>
      <c r="K667">
        <v>1.83737249511683</v>
      </c>
      <c r="L667">
        <v>10727.9246162985</v>
      </c>
      <c r="M667">
        <v>250</v>
      </c>
      <c r="O667">
        <v>42.908952411183101</v>
      </c>
      <c r="P667">
        <v>0.72828625002306702</v>
      </c>
      <c r="Q667">
        <v>1.5</v>
      </c>
      <c r="R667">
        <v>-0.46953238097521599</v>
      </c>
      <c r="S667" t="s">
        <v>2541</v>
      </c>
      <c r="T667" t="s">
        <v>3746</v>
      </c>
      <c r="U667" t="s">
        <v>3746</v>
      </c>
      <c r="V667" t="s">
        <v>3746</v>
      </c>
      <c r="W667" t="s">
        <v>4405</v>
      </c>
      <c r="X667">
        <v>2</v>
      </c>
      <c r="Y667" t="s">
        <v>6261</v>
      </c>
      <c r="Z667" t="s">
        <v>8055</v>
      </c>
      <c r="AA667">
        <v>1.451434037534465</v>
      </c>
      <c r="AB667" t="str">
        <f>HYPERLINK("Melting_Curves/meltCurve_O43681_ASNA1.pdf", "Melting_Curves/meltCurve_O43681_ASNA1.pdf")</f>
        <v>Melting_Curves/meltCurve_O43681_ASNA1.pdf</v>
      </c>
    </row>
    <row r="668" spans="1:28" x14ac:dyDescent="0.25">
      <c r="A668" t="s">
        <v>672</v>
      </c>
      <c r="B668">
        <v>1</v>
      </c>
      <c r="C668">
        <v>1.0187994230864901</v>
      </c>
      <c r="D668">
        <v>1.5257870393395301</v>
      </c>
      <c r="E668">
        <v>2.6025264833142701</v>
      </c>
      <c r="F668">
        <v>2.4921669070473</v>
      </c>
      <c r="G668">
        <v>2.8448301586512201</v>
      </c>
      <c r="H668">
        <v>1.8721340826577799</v>
      </c>
      <c r="I668">
        <v>2.77435718903864</v>
      </c>
      <c r="J668">
        <v>2.8795444372606598</v>
      </c>
      <c r="K668">
        <v>2.60958870045258</v>
      </c>
      <c r="L668">
        <v>10864.099886981399</v>
      </c>
      <c r="M668">
        <v>250</v>
      </c>
      <c r="O668">
        <v>43.453602600713602</v>
      </c>
      <c r="P668">
        <v>0.71915759740688701</v>
      </c>
      <c r="Q668">
        <v>1.5</v>
      </c>
      <c r="R668">
        <v>-0.77925616518760699</v>
      </c>
      <c r="S668" t="s">
        <v>2542</v>
      </c>
      <c r="T668" t="s">
        <v>3746</v>
      </c>
      <c r="U668" t="s">
        <v>3746</v>
      </c>
      <c r="V668" t="s">
        <v>3746</v>
      </c>
      <c r="W668" t="s">
        <v>4406</v>
      </c>
      <c r="X668">
        <v>31</v>
      </c>
      <c r="Y668" t="s">
        <v>6262</v>
      </c>
      <c r="Z668" t="s">
        <v>8056</v>
      </c>
      <c r="AA668">
        <v>1.442355208214483</v>
      </c>
      <c r="AB668" t="str">
        <f>HYPERLINK("Melting_Curves/meltCurve_O43707_ACTN4.pdf", "Melting_Curves/meltCurve_O43707_ACTN4.pdf")</f>
        <v>Melting_Curves/meltCurve_O43707_ACTN4.pdf</v>
      </c>
    </row>
    <row r="669" spans="1:28" x14ac:dyDescent="0.25">
      <c r="A669" t="s">
        <v>673</v>
      </c>
      <c r="B669">
        <v>1</v>
      </c>
      <c r="C669">
        <v>1.1053841732132601</v>
      </c>
      <c r="D669">
        <v>1.4995848502267399</v>
      </c>
      <c r="E669">
        <v>1.63485980711503</v>
      </c>
      <c r="F669">
        <v>1.37197419684486</v>
      </c>
      <c r="G669">
        <v>1.6819952736795001</v>
      </c>
      <c r="H669">
        <v>1.0240999765812899</v>
      </c>
      <c r="I669">
        <v>1.6515296672414901</v>
      </c>
      <c r="J669">
        <v>1.89736220220987</v>
      </c>
      <c r="K669">
        <v>1.88297034340338</v>
      </c>
      <c r="L669">
        <v>5393.3293936680202</v>
      </c>
      <c r="M669">
        <v>124.398332712537</v>
      </c>
      <c r="O669">
        <v>43.344117396100799</v>
      </c>
      <c r="P669">
        <v>0.35875207379542501</v>
      </c>
      <c r="Q669">
        <v>1.5</v>
      </c>
      <c r="R669">
        <v>0.39118050794607501</v>
      </c>
      <c r="S669" t="s">
        <v>2543</v>
      </c>
      <c r="T669" t="s">
        <v>3746</v>
      </c>
      <c r="U669" t="s">
        <v>3746</v>
      </c>
      <c r="V669" t="s">
        <v>3746</v>
      </c>
      <c r="W669" t="s">
        <v>4407</v>
      </c>
      <c r="X669">
        <v>1</v>
      </c>
      <c r="Y669" t="s">
        <v>6263</v>
      </c>
      <c r="Z669" t="s">
        <v>8057</v>
      </c>
      <c r="AA669">
        <v>1.443924119149735</v>
      </c>
      <c r="AB669" t="str">
        <f>HYPERLINK("Melting_Curves/meltCurve_O43708_3_GSTZ1.pdf", "Melting_Curves/meltCurve_O43708_3_GSTZ1.pdf")</f>
        <v>Melting_Curves/meltCurve_O43708_3_GSTZ1.pdf</v>
      </c>
    </row>
    <row r="670" spans="1:28" x14ac:dyDescent="0.25">
      <c r="A670" t="s">
        <v>674</v>
      </c>
      <c r="B670">
        <v>1</v>
      </c>
      <c r="C670">
        <v>0.94145831518424905</v>
      </c>
      <c r="D670">
        <v>1.4578796062374799</v>
      </c>
      <c r="E670">
        <v>1.83073438452827</v>
      </c>
      <c r="F670">
        <v>1.2569910270929501</v>
      </c>
      <c r="G670">
        <v>1.3908005923861</v>
      </c>
      <c r="H670">
        <v>1.1648227197491099</v>
      </c>
      <c r="I670">
        <v>1.8268141824200701</v>
      </c>
      <c r="J670">
        <v>1.91619479048698</v>
      </c>
      <c r="K670">
        <v>1.74910706507536</v>
      </c>
      <c r="L670">
        <v>11390.2407628447</v>
      </c>
      <c r="M670">
        <v>250</v>
      </c>
      <c r="O670">
        <v>45.558059966182299</v>
      </c>
      <c r="P670">
        <v>0.68593808882609197</v>
      </c>
      <c r="Q670">
        <v>1.5</v>
      </c>
      <c r="R670">
        <v>0.45771094195539302</v>
      </c>
      <c r="S670" t="s">
        <v>2544</v>
      </c>
      <c r="T670" t="s">
        <v>3746</v>
      </c>
      <c r="U670" t="s">
        <v>3746</v>
      </c>
      <c r="V670" t="s">
        <v>3746</v>
      </c>
      <c r="W670" t="s">
        <v>4408</v>
      </c>
      <c r="X670">
        <v>5</v>
      </c>
      <c r="Y670" t="s">
        <v>6264</v>
      </c>
      <c r="Z670" t="s">
        <v>8058</v>
      </c>
      <c r="AA670">
        <v>1.4072773030864849</v>
      </c>
      <c r="AB670" t="str">
        <f>HYPERLINK("Melting_Curves/meltCurve_O43776_NARS.pdf", "Melting_Curves/meltCurve_O43776_NARS.pdf")</f>
        <v>Melting_Curves/meltCurve_O43776_NARS.pdf</v>
      </c>
    </row>
    <row r="671" spans="1:28" x14ac:dyDescent="0.25">
      <c r="A671" t="s">
        <v>675</v>
      </c>
      <c r="B671">
        <v>1</v>
      </c>
      <c r="C671">
        <v>0.99970503650173304</v>
      </c>
      <c r="D671">
        <v>1.27018656441265</v>
      </c>
      <c r="E671">
        <v>1.56750977066588</v>
      </c>
      <c r="F671">
        <v>0.90649657104933301</v>
      </c>
      <c r="G671">
        <v>1.18826045276897</v>
      </c>
      <c r="H671">
        <v>0.57190472679005999</v>
      </c>
      <c r="I671">
        <v>1.0918811297102</v>
      </c>
      <c r="J671">
        <v>1.0619423346360899</v>
      </c>
      <c r="K671">
        <v>0.956271661381904</v>
      </c>
      <c r="L671">
        <v>10969.3016903276</v>
      </c>
      <c r="M671">
        <v>250</v>
      </c>
      <c r="O671">
        <v>43.874399006690901</v>
      </c>
      <c r="P671">
        <v>0.109412151084318</v>
      </c>
      <c r="Q671">
        <v>1.0768062777083101</v>
      </c>
      <c r="R671">
        <v>1.58175222125925E-2</v>
      </c>
      <c r="S671" t="s">
        <v>2545</v>
      </c>
      <c r="T671" t="s">
        <v>3746</v>
      </c>
      <c r="U671" t="s">
        <v>3746</v>
      </c>
      <c r="V671" t="s">
        <v>3746</v>
      </c>
      <c r="W671" t="s">
        <v>4409</v>
      </c>
      <c r="X671">
        <v>8</v>
      </c>
      <c r="Y671" t="s">
        <v>6265</v>
      </c>
      <c r="Z671" t="s">
        <v>8059</v>
      </c>
      <c r="AA671">
        <v>1.0668739026905081</v>
      </c>
      <c r="AB671" t="str">
        <f>HYPERLINK("Melting_Curves/meltCurve_O43852_2_CALU.pdf", "Melting_Curves/meltCurve_O43852_2_CALU.pdf")</f>
        <v>Melting_Curves/meltCurve_O43852_2_CALU.pdf</v>
      </c>
    </row>
    <row r="672" spans="1:28" x14ac:dyDescent="0.25">
      <c r="A672" t="s">
        <v>676</v>
      </c>
      <c r="B672">
        <v>1</v>
      </c>
      <c r="C672">
        <v>1.0264363499812199</v>
      </c>
      <c r="D672">
        <v>1.4654900488171201</v>
      </c>
      <c r="E672">
        <v>1.6403304543747701</v>
      </c>
      <c r="F672">
        <v>1.19151333082989</v>
      </c>
      <c r="G672">
        <v>1.13548629365377</v>
      </c>
      <c r="H672">
        <v>0.84310927525347401</v>
      </c>
      <c r="I672">
        <v>1.1749155088246299</v>
      </c>
      <c r="J672">
        <v>1.20465640255351</v>
      </c>
      <c r="K672">
        <v>1.19196395043184</v>
      </c>
      <c r="L672">
        <v>10812.7640661327</v>
      </c>
      <c r="M672">
        <v>250</v>
      </c>
      <c r="O672">
        <v>43.248287463813902</v>
      </c>
      <c r="P672">
        <v>0.33373162878735402</v>
      </c>
      <c r="Q672">
        <v>1.2309331478588199</v>
      </c>
      <c r="R672">
        <v>0.163766307949092</v>
      </c>
      <c r="S672" t="s">
        <v>2546</v>
      </c>
      <c r="T672" t="s">
        <v>3746</v>
      </c>
      <c r="U672" t="s">
        <v>3746</v>
      </c>
      <c r="V672" t="s">
        <v>3746</v>
      </c>
      <c r="W672" t="s">
        <v>4410</v>
      </c>
      <c r="X672">
        <v>3</v>
      </c>
      <c r="Y672" t="s">
        <v>6266</v>
      </c>
      <c r="Z672" t="s">
        <v>8060</v>
      </c>
      <c r="AA672">
        <v>1.2058897303247551</v>
      </c>
      <c r="AB672" t="str">
        <f>HYPERLINK("Melting_Curves/meltCurve_O43866_CD5L.pdf", "Melting_Curves/meltCurve_O43866_CD5L.pdf")</f>
        <v>Melting_Curves/meltCurve_O43866_CD5L.pdf</v>
      </c>
    </row>
    <row r="673" spans="1:28" x14ac:dyDescent="0.25">
      <c r="A673" t="s">
        <v>677</v>
      </c>
      <c r="B673">
        <v>1</v>
      </c>
      <c r="C673">
        <v>1.0688997216304901</v>
      </c>
      <c r="D673">
        <v>1.17066795614047</v>
      </c>
      <c r="E673">
        <v>1.35172576028856</v>
      </c>
      <c r="F673">
        <v>0.90796816393742596</v>
      </c>
      <c r="G673">
        <v>1.0218252153116301</v>
      </c>
      <c r="H673">
        <v>0.59518799743847794</v>
      </c>
      <c r="I673">
        <v>0.90987623665329298</v>
      </c>
      <c r="J673">
        <v>0.98536272985088302</v>
      </c>
      <c r="K673">
        <v>0.82466641399950302</v>
      </c>
      <c r="L673">
        <v>14665.3242505652</v>
      </c>
      <c r="M673">
        <v>250</v>
      </c>
      <c r="O673">
        <v>58.657543083641499</v>
      </c>
      <c r="P673">
        <v>-0.18243799165751501</v>
      </c>
      <c r="Q673">
        <v>0.82877817055344805</v>
      </c>
      <c r="R673">
        <v>0.312377684001582</v>
      </c>
      <c r="S673" t="s">
        <v>2547</v>
      </c>
      <c r="T673" t="s">
        <v>3746</v>
      </c>
      <c r="U673" t="s">
        <v>3746</v>
      </c>
      <c r="V673" t="s">
        <v>3746</v>
      </c>
      <c r="W673" t="s">
        <v>4411</v>
      </c>
      <c r="X673">
        <v>2</v>
      </c>
      <c r="Y673" t="s">
        <v>6267</v>
      </c>
      <c r="Z673" t="s">
        <v>8061</v>
      </c>
      <c r="AA673">
        <v>0.93530317820221864</v>
      </c>
      <c r="AB673" t="str">
        <f>HYPERLINK("Melting_Curves/meltCurve_O60259_KLK8.pdf", "Melting_Curves/meltCurve_O60259_KLK8.pdf")</f>
        <v>Melting_Curves/meltCurve_O60259_KLK8.pdf</v>
      </c>
    </row>
    <row r="674" spans="1:28" x14ac:dyDescent="0.25">
      <c r="A674" t="s">
        <v>678</v>
      </c>
      <c r="B674">
        <v>1</v>
      </c>
      <c r="C674">
        <v>1.0730249928181601</v>
      </c>
      <c r="D674">
        <v>1.33243320884803</v>
      </c>
      <c r="E674">
        <v>1.47618500430911</v>
      </c>
      <c r="F674">
        <v>1.18224648089629</v>
      </c>
      <c r="G674">
        <v>1.42614191324332</v>
      </c>
      <c r="H674">
        <v>0.88893995978167195</v>
      </c>
      <c r="I674">
        <v>1.38460212582591</v>
      </c>
      <c r="J674">
        <v>1.40838839413962</v>
      </c>
      <c r="K674">
        <v>1.29141051422005</v>
      </c>
      <c r="L674">
        <v>10773.4215642205</v>
      </c>
      <c r="M674">
        <v>250</v>
      </c>
      <c r="O674">
        <v>43.090928588428099</v>
      </c>
      <c r="P674">
        <v>0.43337638635186798</v>
      </c>
      <c r="Q674">
        <v>1.2987934540202899</v>
      </c>
      <c r="R674">
        <v>0.31095059095841199</v>
      </c>
      <c r="S674" t="s">
        <v>2548</v>
      </c>
      <c r="T674" t="s">
        <v>3746</v>
      </c>
      <c r="U674" t="s">
        <v>3746</v>
      </c>
      <c r="V674" t="s">
        <v>3746</v>
      </c>
      <c r="W674" t="s">
        <v>4412</v>
      </c>
      <c r="X674">
        <v>1</v>
      </c>
      <c r="Y674" t="s">
        <v>6268</v>
      </c>
      <c r="Z674" t="s">
        <v>8062</v>
      </c>
      <c r="AA674">
        <v>1.267958416561066</v>
      </c>
      <c r="AB674" t="str">
        <f>HYPERLINK("Melting_Curves/meltCurve_O60262_GNG7.pdf", "Melting_Curves/meltCurve_O60262_GNG7.pdf")</f>
        <v>Melting_Curves/meltCurve_O60262_GNG7.pdf</v>
      </c>
    </row>
    <row r="675" spans="1:28" x14ac:dyDescent="0.25">
      <c r="A675" t="s">
        <v>679</v>
      </c>
      <c r="B675">
        <v>1</v>
      </c>
      <c r="C675">
        <v>1.6233192020598699</v>
      </c>
      <c r="D675">
        <v>1.8315170745663101</v>
      </c>
      <c r="E675">
        <v>2.39095945278161</v>
      </c>
      <c r="F675">
        <v>1.3196702124892701</v>
      </c>
      <c r="G675">
        <v>1.4528336237613499</v>
      </c>
      <c r="H675">
        <v>0.92086920336029499</v>
      </c>
      <c r="I675">
        <v>1.8352883039871</v>
      </c>
      <c r="J675">
        <v>1.36531509272023</v>
      </c>
      <c r="K675">
        <v>1.6438659002834899</v>
      </c>
      <c r="L675">
        <v>10250.396118896801</v>
      </c>
      <c r="M675">
        <v>250</v>
      </c>
      <c r="O675">
        <v>40.998960742304298</v>
      </c>
      <c r="P675">
        <v>0.76221444505253599</v>
      </c>
      <c r="Q675">
        <v>1.5</v>
      </c>
      <c r="R675">
        <v>0.140415501285855</v>
      </c>
      <c r="S675" t="s">
        <v>2549</v>
      </c>
      <c r="T675" t="s">
        <v>3746</v>
      </c>
      <c r="U675" t="s">
        <v>3746</v>
      </c>
      <c r="V675" t="s">
        <v>3746</v>
      </c>
      <c r="W675" t="s">
        <v>4413</v>
      </c>
      <c r="X675">
        <v>1</v>
      </c>
      <c r="Y675" t="s">
        <v>6269</v>
      </c>
      <c r="Z675" t="s">
        <v>8063</v>
      </c>
      <c r="AA675">
        <v>1.483266017288376</v>
      </c>
      <c r="AB675" t="str">
        <f>HYPERLINK("Melting_Curves/meltCurve_O60271_5_SPAG9.pdf", "Melting_Curves/meltCurve_O60271_5_SPAG9.pdf")</f>
        <v>Melting_Curves/meltCurve_O60271_5_SPAG9.pdf</v>
      </c>
    </row>
    <row r="676" spans="1:28" x14ac:dyDescent="0.25">
      <c r="A676" t="s">
        <v>680</v>
      </c>
      <c r="B676">
        <v>1</v>
      </c>
      <c r="C676">
        <v>1.32291860393032</v>
      </c>
      <c r="D676">
        <v>1.9664000991879</v>
      </c>
      <c r="E676">
        <v>2.0065711983138099</v>
      </c>
      <c r="F676">
        <v>2.3413303576963602</v>
      </c>
      <c r="G676">
        <v>2.90806521604364</v>
      </c>
      <c r="H676">
        <v>1.3363089703056199</v>
      </c>
      <c r="I676">
        <v>2.4462215609695601</v>
      </c>
      <c r="J676">
        <v>2.7171285103217402</v>
      </c>
      <c r="K676">
        <v>2.40158700638522</v>
      </c>
      <c r="L676">
        <v>10699.2260550475</v>
      </c>
      <c r="M676">
        <v>250</v>
      </c>
      <c r="O676">
        <v>42.794165516375401</v>
      </c>
      <c r="P676">
        <v>0.73023973408321696</v>
      </c>
      <c r="Q676">
        <v>1.5</v>
      </c>
      <c r="R676">
        <v>-0.72651001399992299</v>
      </c>
      <c r="S676" t="s">
        <v>2550</v>
      </c>
      <c r="T676" t="s">
        <v>3746</v>
      </c>
      <c r="U676" t="s">
        <v>3746</v>
      </c>
      <c r="V676" t="s">
        <v>3746</v>
      </c>
      <c r="W676" t="s">
        <v>4414</v>
      </c>
      <c r="X676">
        <v>2</v>
      </c>
      <c r="Y676" t="s">
        <v>6270</v>
      </c>
      <c r="Z676" t="s">
        <v>8064</v>
      </c>
      <c r="AA676">
        <v>1.453347375649745</v>
      </c>
      <c r="AB676" t="str">
        <f>HYPERLINK("Melting_Curves/meltCurve_O60343_2_TBC1D4.pdf", "Melting_Curves/meltCurve_O60343_2_TBC1D4.pdf")</f>
        <v>Melting_Curves/meltCurve_O60343_2_TBC1D4.pdf</v>
      </c>
    </row>
    <row r="677" spans="1:28" x14ac:dyDescent="0.25">
      <c r="A677" t="s">
        <v>681</v>
      </c>
      <c r="B677">
        <v>1</v>
      </c>
      <c r="C677">
        <v>1.23407788756954</v>
      </c>
      <c r="D677">
        <v>1.89653740762269</v>
      </c>
      <c r="E677">
        <v>2.2927011541974598</v>
      </c>
      <c r="F677">
        <v>2.0072241135929598</v>
      </c>
      <c r="G677">
        <v>2.52229510919206</v>
      </c>
      <c r="H677">
        <v>1.15743585485344</v>
      </c>
      <c r="I677">
        <v>2.3015029477704898</v>
      </c>
      <c r="J677">
        <v>1.9869633812173</v>
      </c>
      <c r="K677">
        <v>1.8632400564643401</v>
      </c>
      <c r="L677">
        <v>10730.471847589301</v>
      </c>
      <c r="M677">
        <v>250</v>
      </c>
      <c r="O677">
        <v>42.919140690935102</v>
      </c>
      <c r="P677">
        <v>0.72811336726906695</v>
      </c>
      <c r="Q677">
        <v>1.5</v>
      </c>
      <c r="R677">
        <v>-0.30052223086166502</v>
      </c>
      <c r="S677" t="s">
        <v>2551</v>
      </c>
      <c r="T677" t="s">
        <v>3746</v>
      </c>
      <c r="U677" t="s">
        <v>3746</v>
      </c>
      <c r="V677" t="s">
        <v>3746</v>
      </c>
      <c r="W677" t="s">
        <v>4415</v>
      </c>
      <c r="X677">
        <v>2</v>
      </c>
      <c r="Y677" t="s">
        <v>6271</v>
      </c>
      <c r="Z677" t="s">
        <v>8065</v>
      </c>
      <c r="AA677">
        <v>1.451264213176285</v>
      </c>
      <c r="AB677" t="str">
        <f>HYPERLINK("Melting_Curves/meltCurve_O60476_MAN1A2.pdf", "Melting_Curves/meltCurve_O60476_MAN1A2.pdf")</f>
        <v>Melting_Curves/meltCurve_O60476_MAN1A2.pdf</v>
      </c>
    </row>
    <row r="678" spans="1:28" x14ac:dyDescent="0.25">
      <c r="A678" t="s">
        <v>682</v>
      </c>
      <c r="B678">
        <v>1</v>
      </c>
      <c r="C678">
        <v>0.99122580645161296</v>
      </c>
      <c r="D678">
        <v>1.4156559139784901</v>
      </c>
      <c r="E678">
        <v>1.5581075268817199</v>
      </c>
      <c r="F678">
        <v>1.1532043010752699</v>
      </c>
      <c r="G678">
        <v>1.14176344086022</v>
      </c>
      <c r="H678">
        <v>0.82910967741935504</v>
      </c>
      <c r="I678">
        <v>1.3052043010752701</v>
      </c>
      <c r="J678">
        <v>1.3413333333333299</v>
      </c>
      <c r="K678">
        <v>1.1435698924731199</v>
      </c>
      <c r="L678">
        <v>11033.803444605201</v>
      </c>
      <c r="M678">
        <v>250</v>
      </c>
      <c r="O678">
        <v>44.1323893162537</v>
      </c>
      <c r="P678">
        <v>0.33421172480717298</v>
      </c>
      <c r="Q678">
        <v>1.2359929915166601</v>
      </c>
      <c r="R678">
        <v>0.21280124132567199</v>
      </c>
      <c r="S678" t="s">
        <v>2552</v>
      </c>
      <c r="T678" t="s">
        <v>3746</v>
      </c>
      <c r="U678" t="s">
        <v>3746</v>
      </c>
      <c r="V678" t="s">
        <v>3746</v>
      </c>
      <c r="W678" t="s">
        <v>4416</v>
      </c>
      <c r="X678">
        <v>4</v>
      </c>
      <c r="Y678" t="s">
        <v>6272</v>
      </c>
      <c r="Z678" t="s">
        <v>8066</v>
      </c>
      <c r="AA678">
        <v>1.203445329961087</v>
      </c>
      <c r="AB678" t="str">
        <f>HYPERLINK("Melting_Curves/meltCurve_O60488_2_ACSL4.pdf", "Melting_Curves/meltCurve_O60488_2_ACSL4.pdf")</f>
        <v>Melting_Curves/meltCurve_O60488_2_ACSL4.pdf</v>
      </c>
    </row>
    <row r="679" spans="1:28" x14ac:dyDescent="0.25">
      <c r="A679" t="s">
        <v>683</v>
      </c>
      <c r="B679">
        <v>1</v>
      </c>
      <c r="C679">
        <v>1.1309319611206401</v>
      </c>
      <c r="D679">
        <v>1.3948138432045201</v>
      </c>
      <c r="E679">
        <v>1.6027982376484</v>
      </c>
      <c r="F679">
        <v>1.3924931893855299</v>
      </c>
      <c r="G679">
        <v>1.31977936972388</v>
      </c>
      <c r="H679">
        <v>0.75320351125012597</v>
      </c>
      <c r="I679">
        <v>1.1635892779067001</v>
      </c>
      <c r="J679">
        <v>1.19241247099183</v>
      </c>
      <c r="K679">
        <v>1.1226246931019399</v>
      </c>
      <c r="L679">
        <v>10718.2164622092</v>
      </c>
      <c r="M679">
        <v>250</v>
      </c>
      <c r="O679">
        <v>42.8701222831153</v>
      </c>
      <c r="P679">
        <v>0.35385122279854903</v>
      </c>
      <c r="Q679">
        <v>1.2427143227025299</v>
      </c>
      <c r="R679">
        <v>0.117012959669335</v>
      </c>
      <c r="S679" t="s">
        <v>2553</v>
      </c>
      <c r="T679" t="s">
        <v>3746</v>
      </c>
      <c r="U679" t="s">
        <v>3746</v>
      </c>
      <c r="V679" t="s">
        <v>3746</v>
      </c>
      <c r="W679" t="s">
        <v>4417</v>
      </c>
      <c r="X679">
        <v>5</v>
      </c>
      <c r="Y679" t="s">
        <v>6273</v>
      </c>
      <c r="Z679" t="s">
        <v>8067</v>
      </c>
      <c r="AA679">
        <v>1.2194532042730311</v>
      </c>
      <c r="AB679" t="str">
        <f>HYPERLINK("Melting_Curves/meltCurve_O60543_CIDEA.pdf", "Melting_Curves/meltCurve_O60543_CIDEA.pdf")</f>
        <v>Melting_Curves/meltCurve_O60543_CIDEA.pdf</v>
      </c>
    </row>
    <row r="680" spans="1:28" x14ac:dyDescent="0.25">
      <c r="A680" t="s">
        <v>684</v>
      </c>
      <c r="B680">
        <v>1</v>
      </c>
      <c r="C680">
        <v>1.02768509333574</v>
      </c>
      <c r="D680">
        <v>1.4944539633871401</v>
      </c>
      <c r="E680">
        <v>2.1158806023987702</v>
      </c>
      <c r="F680">
        <v>1.63729822346469</v>
      </c>
      <c r="G680">
        <v>1.8899810623140001</v>
      </c>
      <c r="H680">
        <v>1.13283434033727</v>
      </c>
      <c r="I680">
        <v>2.0975741726034798</v>
      </c>
      <c r="J680">
        <v>2.2213905672287901</v>
      </c>
      <c r="K680">
        <v>1.9994589232572799</v>
      </c>
      <c r="L680">
        <v>4709.4118127601596</v>
      </c>
      <c r="M680">
        <v>106.938290054546</v>
      </c>
      <c r="O680">
        <v>44.023185801067598</v>
      </c>
      <c r="P680">
        <v>0.303641884218251</v>
      </c>
      <c r="Q680">
        <v>1.5</v>
      </c>
      <c r="R680">
        <v>0.104646957263621</v>
      </c>
      <c r="S680" t="s">
        <v>2554</v>
      </c>
      <c r="T680" t="s">
        <v>3746</v>
      </c>
      <c r="U680" t="s">
        <v>3746</v>
      </c>
      <c r="V680" t="s">
        <v>3746</v>
      </c>
      <c r="W680" t="s">
        <v>4418</v>
      </c>
      <c r="X680">
        <v>10</v>
      </c>
      <c r="Y680" t="s">
        <v>6274</v>
      </c>
      <c r="Z680" t="s">
        <v>8068</v>
      </c>
      <c r="AA680">
        <v>1.4324785983603061</v>
      </c>
      <c r="AB680" t="str">
        <f>HYPERLINK("Melting_Curves/meltCurve_O60547_2_GMDS.pdf", "Melting_Curves/meltCurve_O60547_2_GMDS.pdf")</f>
        <v>Melting_Curves/meltCurve_O60547_2_GMDS.pdf</v>
      </c>
    </row>
    <row r="681" spans="1:28" x14ac:dyDescent="0.25">
      <c r="A681" t="s">
        <v>685</v>
      </c>
      <c r="B681">
        <v>1</v>
      </c>
      <c r="C681">
        <v>0.91589497459062696</v>
      </c>
      <c r="D681">
        <v>1.4688499905891199</v>
      </c>
      <c r="E681">
        <v>1.7360248447205</v>
      </c>
      <c r="F681">
        <v>0.96743835874270701</v>
      </c>
      <c r="G681">
        <v>1.1043666478449099</v>
      </c>
      <c r="H681">
        <v>0.76921701486918903</v>
      </c>
      <c r="I681">
        <v>1.2761151891586699</v>
      </c>
      <c r="J681">
        <v>1.2546583850931701</v>
      </c>
      <c r="K681">
        <v>1.1645962732919299</v>
      </c>
      <c r="L681">
        <v>11076.2195736013</v>
      </c>
      <c r="M681">
        <v>250</v>
      </c>
      <c r="O681">
        <v>44.302020645360301</v>
      </c>
      <c r="P681">
        <v>0.30706116726622301</v>
      </c>
      <c r="Q681">
        <v>1.2176549935648999</v>
      </c>
      <c r="R681">
        <v>0.14347136750112899</v>
      </c>
      <c r="S681" t="s">
        <v>2555</v>
      </c>
      <c r="T681" t="s">
        <v>3746</v>
      </c>
      <c r="U681" t="s">
        <v>3746</v>
      </c>
      <c r="V681" t="s">
        <v>3746</v>
      </c>
      <c r="W681" t="s">
        <v>4419</v>
      </c>
      <c r="X681">
        <v>12</v>
      </c>
      <c r="Y681" t="s">
        <v>6275</v>
      </c>
      <c r="Z681" t="s">
        <v>8069</v>
      </c>
      <c r="AA681">
        <v>1.1864054613553741</v>
      </c>
      <c r="AB681" t="str">
        <f>HYPERLINK("Melting_Curves/meltCurve_O60603_TLR2.pdf", "Melting_Curves/meltCurve_O60603_TLR2.pdf")</f>
        <v>Melting_Curves/meltCurve_O60603_TLR2.pdf</v>
      </c>
    </row>
    <row r="682" spans="1:28" x14ac:dyDescent="0.25">
      <c r="A682" t="s">
        <v>686</v>
      </c>
      <c r="B682">
        <v>1</v>
      </c>
      <c r="C682">
        <v>1.0200092451958001</v>
      </c>
      <c r="D682">
        <v>1.3882982236016601</v>
      </c>
      <c r="E682">
        <v>2.1703097140593002</v>
      </c>
      <c r="F682">
        <v>1.9563494684012399</v>
      </c>
      <c r="G682">
        <v>1.54018358317374</v>
      </c>
      <c r="H682">
        <v>1.3346760879614299</v>
      </c>
      <c r="I682">
        <v>1.67073895529287</v>
      </c>
      <c r="J682">
        <v>2.0746879746417499</v>
      </c>
      <c r="K682">
        <v>1.7872944594862299</v>
      </c>
      <c r="L682">
        <v>6700.1892832040103</v>
      </c>
      <c r="M682">
        <v>146.902472989274</v>
      </c>
      <c r="O682">
        <v>45.601328000231803</v>
      </c>
      <c r="P682">
        <v>0.40268146560733997</v>
      </c>
      <c r="Q682">
        <v>1.5</v>
      </c>
      <c r="R682">
        <v>0.26337891212501202</v>
      </c>
      <c r="S682" t="s">
        <v>2556</v>
      </c>
      <c r="T682" t="s">
        <v>3746</v>
      </c>
      <c r="U682" t="s">
        <v>3746</v>
      </c>
      <c r="V682" t="s">
        <v>3746</v>
      </c>
      <c r="W682" t="s">
        <v>4420</v>
      </c>
      <c r="X682">
        <v>2</v>
      </c>
      <c r="Y682" t="s">
        <v>6276</v>
      </c>
      <c r="Z682" t="s">
        <v>8070</v>
      </c>
      <c r="AA682">
        <v>1.406387729121086</v>
      </c>
      <c r="AB682" t="str">
        <f>HYPERLINK("Melting_Curves/meltCurve_O60613_SEP15.pdf", "Melting_Curves/meltCurve_O60613_SEP15.pdf")</f>
        <v>Melting_Curves/meltCurve_O60613_SEP15.pdf</v>
      </c>
    </row>
    <row r="683" spans="1:28" x14ac:dyDescent="0.25">
      <c r="A683" t="s">
        <v>687</v>
      </c>
      <c r="B683">
        <v>1</v>
      </c>
      <c r="C683">
        <v>1.0147162922394799</v>
      </c>
      <c r="D683">
        <v>1.4913751350545801</v>
      </c>
      <c r="E683">
        <v>1.9383033419023099</v>
      </c>
      <c r="F683">
        <v>1.46872322193659</v>
      </c>
      <c r="G683">
        <v>1.71077828694907</v>
      </c>
      <c r="H683">
        <v>1.0608025036324999</v>
      </c>
      <c r="I683">
        <v>1.61990983942476</v>
      </c>
      <c r="J683">
        <v>1.61301739875564</v>
      </c>
      <c r="K683">
        <v>1.4528892366156301</v>
      </c>
      <c r="L683">
        <v>4818.4171580535303</v>
      </c>
      <c r="M683">
        <v>108.81694177359201</v>
      </c>
      <c r="O683">
        <v>44.265065214617302</v>
      </c>
      <c r="P683">
        <v>0.30728779740802697</v>
      </c>
      <c r="Q683">
        <v>1.5</v>
      </c>
      <c r="R683">
        <v>0.49236268679090101</v>
      </c>
      <c r="S683" t="s">
        <v>2557</v>
      </c>
      <c r="T683" t="s">
        <v>3746</v>
      </c>
      <c r="U683" t="s">
        <v>3746</v>
      </c>
      <c r="V683" t="s">
        <v>3746</v>
      </c>
      <c r="W683" t="s">
        <v>4421</v>
      </c>
      <c r="X683">
        <v>19</v>
      </c>
      <c r="Y683" t="s">
        <v>6277</v>
      </c>
      <c r="Z683" t="s">
        <v>8071</v>
      </c>
      <c r="AA683">
        <v>1.4284608814765281</v>
      </c>
      <c r="AB683" t="str">
        <f>HYPERLINK("Melting_Curves/meltCurve_O60664_4_PLIN3.pdf", "Melting_Curves/meltCurve_O60664_4_PLIN3.pdf")</f>
        <v>Melting_Curves/meltCurve_O60664_4_PLIN3.pdf</v>
      </c>
    </row>
    <row r="684" spans="1:28" x14ac:dyDescent="0.25">
      <c r="A684" t="s">
        <v>688</v>
      </c>
      <c r="B684">
        <v>1</v>
      </c>
      <c r="C684">
        <v>0.93990741633715902</v>
      </c>
      <c r="D684">
        <v>1.73999421352107</v>
      </c>
      <c r="E684">
        <v>2.4151798630533299</v>
      </c>
      <c r="F684">
        <v>1.4195197222490099</v>
      </c>
      <c r="G684">
        <v>1.7287105796123099</v>
      </c>
      <c r="H684">
        <v>1.4467161732086</v>
      </c>
      <c r="I684">
        <v>1.85524158549523</v>
      </c>
      <c r="J684">
        <v>2.0074259812903801</v>
      </c>
      <c r="K684">
        <v>1.8569775291735</v>
      </c>
      <c r="L684">
        <v>11069.8185431069</v>
      </c>
      <c r="M684">
        <v>250</v>
      </c>
      <c r="O684">
        <v>44.276432002670703</v>
      </c>
      <c r="P684">
        <v>0.70579295896360295</v>
      </c>
      <c r="Q684">
        <v>1.5</v>
      </c>
      <c r="R684">
        <v>0.197141076192655</v>
      </c>
      <c r="S684" t="s">
        <v>2558</v>
      </c>
      <c r="T684" t="s">
        <v>3746</v>
      </c>
      <c r="U684" t="s">
        <v>3746</v>
      </c>
      <c r="V684" t="s">
        <v>3746</v>
      </c>
      <c r="W684" t="s">
        <v>4422</v>
      </c>
      <c r="X684">
        <v>4</v>
      </c>
      <c r="Y684" t="s">
        <v>6278</v>
      </c>
      <c r="Z684" t="s">
        <v>8072</v>
      </c>
      <c r="AA684">
        <v>1.42863990907435</v>
      </c>
      <c r="AB684" t="str">
        <f>HYPERLINK("Melting_Curves/meltCurve_O60763_USO1.pdf", "Melting_Curves/meltCurve_O60763_USO1.pdf")</f>
        <v>Melting_Curves/meltCurve_O60763_USO1.pdf</v>
      </c>
    </row>
    <row r="685" spans="1:28" x14ac:dyDescent="0.25">
      <c r="A685" t="s">
        <v>689</v>
      </c>
      <c r="B685">
        <v>1</v>
      </c>
      <c r="C685">
        <v>1.06692730149865</v>
      </c>
      <c r="D685">
        <v>1.1980824723075501</v>
      </c>
      <c r="E685">
        <v>1.4628129945080499</v>
      </c>
      <c r="F685">
        <v>0.89111979893884397</v>
      </c>
      <c r="G685">
        <v>1.19892022712464</v>
      </c>
      <c r="H685">
        <v>0.65271339476868695</v>
      </c>
      <c r="I685">
        <v>1.0590151726705801</v>
      </c>
      <c r="J685">
        <v>0.97775295541282703</v>
      </c>
      <c r="K685">
        <v>0.91609420087498805</v>
      </c>
      <c r="L685">
        <v>3243.2611602279799</v>
      </c>
      <c r="M685">
        <v>55.1532912938899</v>
      </c>
      <c r="O685">
        <v>58.727332334497497</v>
      </c>
      <c r="P685">
        <v>-2.0222178399888401E-2</v>
      </c>
      <c r="Q685">
        <v>0.913869588860033</v>
      </c>
      <c r="R685">
        <v>2.3348300978414699E-2</v>
      </c>
      <c r="S685" t="s">
        <v>2559</v>
      </c>
      <c r="T685" t="s">
        <v>3746</v>
      </c>
      <c r="U685" t="s">
        <v>3746</v>
      </c>
      <c r="V685" t="s">
        <v>3746</v>
      </c>
      <c r="W685" t="s">
        <v>4423</v>
      </c>
      <c r="X685">
        <v>2</v>
      </c>
      <c r="Y685" t="s">
        <v>6279</v>
      </c>
      <c r="Z685" t="s">
        <v>8073</v>
      </c>
      <c r="AA685">
        <v>0.96804029717296436</v>
      </c>
      <c r="AB685" t="str">
        <f>HYPERLINK("Melting_Curves/meltCurve_O60869_2_EDF1.pdf", "Melting_Curves/meltCurve_O60869_2_EDF1.pdf")</f>
        <v>Melting_Curves/meltCurve_O60869_2_EDF1.pdf</v>
      </c>
    </row>
    <row r="686" spans="1:28" x14ac:dyDescent="0.25">
      <c r="A686" t="s">
        <v>690</v>
      </c>
      <c r="B686">
        <v>1</v>
      </c>
      <c r="C686">
        <v>1.2017708060349701</v>
      </c>
      <c r="D686">
        <v>1.4664370484070199</v>
      </c>
      <c r="E686">
        <v>2.064130882408</v>
      </c>
      <c r="F686">
        <v>1.4531092059451201</v>
      </c>
      <c r="G686">
        <v>1.5261689940473999</v>
      </c>
      <c r="H686">
        <v>0.91827337052150804</v>
      </c>
      <c r="I686">
        <v>1.4924001347759399</v>
      </c>
      <c r="J686">
        <v>1.38394294485418</v>
      </c>
      <c r="K686">
        <v>1.3059788102280001</v>
      </c>
      <c r="L686">
        <v>10734.114714392799</v>
      </c>
      <c r="M686">
        <v>250</v>
      </c>
      <c r="O686">
        <v>42.933711217522799</v>
      </c>
      <c r="P686">
        <v>0.65697962732802895</v>
      </c>
      <c r="Q686">
        <v>1.4513051769093299</v>
      </c>
      <c r="R686">
        <v>0.23835236484071101</v>
      </c>
      <c r="S686" t="s">
        <v>2560</v>
      </c>
      <c r="T686" t="s">
        <v>3746</v>
      </c>
      <c r="U686" t="s">
        <v>3746</v>
      </c>
      <c r="V686" t="s">
        <v>3746</v>
      </c>
      <c r="W686" t="s">
        <v>4424</v>
      </c>
      <c r="X686">
        <v>2</v>
      </c>
      <c r="Y686" t="s">
        <v>6280</v>
      </c>
      <c r="Z686" t="s">
        <v>8074</v>
      </c>
      <c r="AA686">
        <v>1.4070965336289729</v>
      </c>
      <c r="AB686" t="str">
        <f>HYPERLINK("Melting_Curves/meltCurve_O75054_IGSF3.pdf", "Melting_Curves/meltCurve_O75054_IGSF3.pdf")</f>
        <v>Melting_Curves/meltCurve_O75054_IGSF3.pdf</v>
      </c>
    </row>
    <row r="687" spans="1:28" x14ac:dyDescent="0.25">
      <c r="A687" t="s">
        <v>691</v>
      </c>
      <c r="B687">
        <v>1</v>
      </c>
      <c r="C687">
        <v>0.85597260634795203</v>
      </c>
      <c r="D687">
        <v>1.0689055709205799</v>
      </c>
      <c r="E687">
        <v>1.0796786513894401</v>
      </c>
      <c r="F687">
        <v>0.98269458711971602</v>
      </c>
      <c r="G687">
        <v>1.0978269458712</v>
      </c>
      <c r="H687">
        <v>0.30723034373765301</v>
      </c>
      <c r="I687">
        <v>0.82091399973659995</v>
      </c>
      <c r="J687">
        <v>0.78912155933096295</v>
      </c>
      <c r="K687">
        <v>0.61456604767549095</v>
      </c>
      <c r="L687">
        <v>4695.2889326894701</v>
      </c>
      <c r="M687">
        <v>80.235729338477995</v>
      </c>
      <c r="O687">
        <v>58.482357571779701</v>
      </c>
      <c r="P687">
        <v>-0.124792378561577</v>
      </c>
      <c r="Q687">
        <v>0.63616450543875003</v>
      </c>
      <c r="R687">
        <v>0.59359923299737904</v>
      </c>
      <c r="S687" t="s">
        <v>2561</v>
      </c>
      <c r="T687" t="s">
        <v>3746</v>
      </c>
      <c r="U687" t="s">
        <v>3746</v>
      </c>
      <c r="V687" t="s">
        <v>3746</v>
      </c>
      <c r="W687" t="s">
        <v>4425</v>
      </c>
      <c r="X687">
        <v>1</v>
      </c>
      <c r="Y687" t="s">
        <v>6281</v>
      </c>
      <c r="Z687" t="s">
        <v>8075</v>
      </c>
      <c r="AA687">
        <v>0.86111970481143119</v>
      </c>
      <c r="AB687" t="str">
        <f>HYPERLINK("Melting_Curves/meltCurve_O75071_EFCAB14.pdf", "Melting_Curves/meltCurve_O75071_EFCAB14.pdf")</f>
        <v>Melting_Curves/meltCurve_O75071_EFCAB14.pdf</v>
      </c>
    </row>
    <row r="688" spans="1:28" x14ac:dyDescent="0.25">
      <c r="A688" t="s">
        <v>692</v>
      </c>
      <c r="B688">
        <v>1</v>
      </c>
      <c r="C688">
        <v>0.93138232760574902</v>
      </c>
      <c r="D688">
        <v>1.39023892641792</v>
      </c>
      <c r="E688">
        <v>1.8247948497075801</v>
      </c>
      <c r="F688">
        <v>1.2751960828761799</v>
      </c>
      <c r="G688">
        <v>1.90606156775627</v>
      </c>
      <c r="H688">
        <v>1.4302715691163801</v>
      </c>
      <c r="I688">
        <v>2.5894273926644602</v>
      </c>
      <c r="J688">
        <v>2.56109171691527</v>
      </c>
      <c r="K688">
        <v>2.2967765335267698</v>
      </c>
      <c r="L688">
        <v>11441.651163239399</v>
      </c>
      <c r="M688">
        <v>250</v>
      </c>
      <c r="O688">
        <v>45.763675882151396</v>
      </c>
      <c r="P688">
        <v>0.68285598624404098</v>
      </c>
      <c r="Q688">
        <v>1.5</v>
      </c>
      <c r="R688">
        <v>2.7978489872168701E-2</v>
      </c>
      <c r="S688" t="s">
        <v>2562</v>
      </c>
      <c r="T688" t="s">
        <v>3746</v>
      </c>
      <c r="U688" t="s">
        <v>3746</v>
      </c>
      <c r="V688" t="s">
        <v>3746</v>
      </c>
      <c r="W688" t="s">
        <v>4426</v>
      </c>
      <c r="X688">
        <v>6</v>
      </c>
      <c r="Y688" t="s">
        <v>6282</v>
      </c>
      <c r="Z688" t="s">
        <v>8076</v>
      </c>
      <c r="AA688">
        <v>1.4038497626112629</v>
      </c>
      <c r="AB688" t="str">
        <f>HYPERLINK("Melting_Curves/meltCurve_O75083_WDR1.pdf", "Melting_Curves/meltCurve_O75083_WDR1.pdf")</f>
        <v>Melting_Curves/meltCurve_O75083_WDR1.pdf</v>
      </c>
    </row>
    <row r="689" spans="1:28" x14ac:dyDescent="0.25">
      <c r="A689" t="s">
        <v>693</v>
      </c>
      <c r="B689">
        <v>1</v>
      </c>
      <c r="C689">
        <v>1.1462810769918499</v>
      </c>
      <c r="D689">
        <v>1.5785908325023199</v>
      </c>
      <c r="E689">
        <v>2.3254014648739698</v>
      </c>
      <c r="F689">
        <v>1.4337196107424099</v>
      </c>
      <c r="G689">
        <v>1.4264640143048699</v>
      </c>
      <c r="H689">
        <v>1.3326226745985399</v>
      </c>
      <c r="I689">
        <v>1.53309721123758</v>
      </c>
      <c r="J689">
        <v>1.7095354355077199</v>
      </c>
      <c r="K689">
        <v>1.8054399779924999</v>
      </c>
      <c r="L689">
        <v>10762.879514484501</v>
      </c>
      <c r="M689">
        <v>250</v>
      </c>
      <c r="O689">
        <v>43.048763167581903</v>
      </c>
      <c r="P689">
        <v>0.72592097484866203</v>
      </c>
      <c r="Q689">
        <v>1.5</v>
      </c>
      <c r="R689">
        <v>0.29802950409445</v>
      </c>
      <c r="S689" t="s">
        <v>2563</v>
      </c>
      <c r="T689" t="s">
        <v>3746</v>
      </c>
      <c r="U689" t="s">
        <v>3746</v>
      </c>
      <c r="V689" t="s">
        <v>3746</v>
      </c>
      <c r="W689" t="s">
        <v>4427</v>
      </c>
      <c r="X689">
        <v>5</v>
      </c>
      <c r="Y689" t="s">
        <v>6283</v>
      </c>
      <c r="Z689" t="s">
        <v>8077</v>
      </c>
      <c r="AA689">
        <v>1.4491035883161301</v>
      </c>
      <c r="AB689" t="str">
        <f>HYPERLINK("Melting_Curves/meltCurve_O75223_GGCT.pdf", "Melting_Curves/meltCurve_O75223_GGCT.pdf")</f>
        <v>Melting_Curves/meltCurve_O75223_GGCT.pdf</v>
      </c>
    </row>
    <row r="690" spans="1:28" x14ac:dyDescent="0.25">
      <c r="A690" t="s">
        <v>694</v>
      </c>
      <c r="B690">
        <v>1</v>
      </c>
      <c r="C690">
        <v>1.00565885206144</v>
      </c>
      <c r="D690">
        <v>1.49538052892944</v>
      </c>
      <c r="E690">
        <v>1.5016168148747</v>
      </c>
      <c r="F690">
        <v>1.12432151518651</v>
      </c>
      <c r="G690">
        <v>1.1179697424644901</v>
      </c>
      <c r="H690">
        <v>0.74517842707010096</v>
      </c>
      <c r="I690">
        <v>1.00571659544982</v>
      </c>
      <c r="J690">
        <v>1.08280401893983</v>
      </c>
      <c r="K690">
        <v>0.97297609423720999</v>
      </c>
      <c r="L690">
        <v>10857.753059476399</v>
      </c>
      <c r="M690">
        <v>250</v>
      </c>
      <c r="O690">
        <v>43.428232793028997</v>
      </c>
      <c r="P690">
        <v>0.18816302658333101</v>
      </c>
      <c r="Q690">
        <v>1.1307454038368701</v>
      </c>
      <c r="R690">
        <v>5.3637522962670298E-2</v>
      </c>
      <c r="S690" t="s">
        <v>2564</v>
      </c>
      <c r="T690" t="s">
        <v>3746</v>
      </c>
      <c r="U690" t="s">
        <v>3746</v>
      </c>
      <c r="V690" t="s">
        <v>3746</v>
      </c>
      <c r="W690" t="s">
        <v>4428</v>
      </c>
      <c r="X690">
        <v>7</v>
      </c>
      <c r="Y690" t="s">
        <v>6284</v>
      </c>
      <c r="Z690" t="s">
        <v>8078</v>
      </c>
      <c r="AA690">
        <v>1.115782468969946</v>
      </c>
      <c r="AB690" t="str">
        <f>HYPERLINK("Melting_Curves/meltCurve_O75339_CILP.pdf", "Melting_Curves/meltCurve_O75339_CILP.pdf")</f>
        <v>Melting_Curves/meltCurve_O75339_CILP.pdf</v>
      </c>
    </row>
    <row r="691" spans="1:28" x14ac:dyDescent="0.25">
      <c r="A691" t="s">
        <v>695</v>
      </c>
      <c r="B691">
        <v>1</v>
      </c>
      <c r="C691">
        <v>1.0524236983841999</v>
      </c>
      <c r="D691">
        <v>1.22800718132855</v>
      </c>
      <c r="E691">
        <v>1.6362657091561901</v>
      </c>
      <c r="F691">
        <v>1.81675643327349</v>
      </c>
      <c r="G691">
        <v>2.1704967085577498</v>
      </c>
      <c r="H691">
        <v>1.5546977857570301</v>
      </c>
      <c r="I691">
        <v>2.05852782764812</v>
      </c>
      <c r="J691">
        <v>1.97402752842609</v>
      </c>
      <c r="K691">
        <v>2.0412327947336899</v>
      </c>
      <c r="L691">
        <v>8646.0394135800998</v>
      </c>
      <c r="M691">
        <v>187.78098381331799</v>
      </c>
      <c r="O691">
        <v>46.037997706345898</v>
      </c>
      <c r="P691">
        <v>0.50985335643125995</v>
      </c>
      <c r="Q691">
        <v>1.5</v>
      </c>
      <c r="R691">
        <v>0.169605135600878</v>
      </c>
      <c r="S691" t="s">
        <v>2565</v>
      </c>
      <c r="T691" t="s">
        <v>3746</v>
      </c>
      <c r="U691" t="s">
        <v>3746</v>
      </c>
      <c r="V691" t="s">
        <v>3746</v>
      </c>
      <c r="W691" t="s">
        <v>4429</v>
      </c>
      <c r="X691">
        <v>1</v>
      </c>
      <c r="Y691" t="s">
        <v>6285</v>
      </c>
      <c r="Z691" t="s">
        <v>8079</v>
      </c>
      <c r="AA691">
        <v>1.3992081965205121</v>
      </c>
      <c r="AB691" t="str">
        <f>HYPERLINK("Melting_Curves/meltCurve_O75348_ATP6V1G1.pdf", "Melting_Curves/meltCurve_O75348_ATP6V1G1.pdf")</f>
        <v>Melting_Curves/meltCurve_O75348_ATP6V1G1.pdf</v>
      </c>
    </row>
    <row r="692" spans="1:28" x14ac:dyDescent="0.25">
      <c r="A692" t="s">
        <v>696</v>
      </c>
      <c r="B692">
        <v>1</v>
      </c>
      <c r="C692">
        <v>0.91577250675558197</v>
      </c>
      <c r="D692">
        <v>1.4237132788672699</v>
      </c>
      <c r="E692">
        <v>1.69972029519129</v>
      </c>
      <c r="F692">
        <v>1.3613880943727199</v>
      </c>
      <c r="G692">
        <v>1.3458858109069101</v>
      </c>
      <c r="H692">
        <v>1.1555759232629099</v>
      </c>
      <c r="I692">
        <v>1.89946429417993</v>
      </c>
      <c r="J692">
        <v>2.1823296092033901</v>
      </c>
      <c r="K692">
        <v>1.87291604114979</v>
      </c>
      <c r="L692">
        <v>11421.1303711482</v>
      </c>
      <c r="M692">
        <v>250</v>
      </c>
      <c r="O692">
        <v>45.681598010998997</v>
      </c>
      <c r="P692">
        <v>0.68408290032929797</v>
      </c>
      <c r="Q692">
        <v>1.5</v>
      </c>
      <c r="R692">
        <v>0.376731325260516</v>
      </c>
      <c r="S692" t="s">
        <v>2566</v>
      </c>
      <c r="T692" t="s">
        <v>3746</v>
      </c>
      <c r="U692" t="s">
        <v>3746</v>
      </c>
      <c r="V692" t="s">
        <v>3746</v>
      </c>
      <c r="W692" t="s">
        <v>4430</v>
      </c>
      <c r="X692">
        <v>2</v>
      </c>
      <c r="Y692" t="s">
        <v>6286</v>
      </c>
      <c r="Z692" t="s">
        <v>8080</v>
      </c>
      <c r="AA692">
        <v>1.405217887444689</v>
      </c>
      <c r="AB692" t="str">
        <f>HYPERLINK("Melting_Curves/meltCurve_O75351_VPS4B.pdf", "Melting_Curves/meltCurve_O75351_VPS4B.pdf")</f>
        <v>Melting_Curves/meltCurve_O75351_VPS4B.pdf</v>
      </c>
    </row>
    <row r="693" spans="1:28" x14ac:dyDescent="0.25">
      <c r="A693" t="s">
        <v>697</v>
      </c>
      <c r="B693">
        <v>1</v>
      </c>
      <c r="C693">
        <v>1.23464303733602</v>
      </c>
      <c r="D693">
        <v>1.67703077699294</v>
      </c>
      <c r="E693">
        <v>2.02617305751766</v>
      </c>
      <c r="F693">
        <v>0.943396821392533</v>
      </c>
      <c r="G693">
        <v>1.22776866801211</v>
      </c>
      <c r="H693">
        <v>1.0311553985872901</v>
      </c>
      <c r="I693">
        <v>1.247351160444</v>
      </c>
      <c r="J693">
        <v>1.1781975277497501</v>
      </c>
      <c r="K693">
        <v>1.1383387991927301</v>
      </c>
      <c r="L693">
        <v>10675.5127727286</v>
      </c>
      <c r="M693">
        <v>250</v>
      </c>
      <c r="O693">
        <v>42.699320291247702</v>
      </c>
      <c r="P693">
        <v>0.451817111035204</v>
      </c>
      <c r="Q693">
        <v>1.3086765228796999</v>
      </c>
      <c r="R693">
        <v>8.5824047540890597E-2</v>
      </c>
      <c r="S693" t="s">
        <v>2567</v>
      </c>
      <c r="T693" t="s">
        <v>3746</v>
      </c>
      <c r="U693" t="s">
        <v>3746</v>
      </c>
      <c r="V693" t="s">
        <v>3746</v>
      </c>
      <c r="W693" t="s">
        <v>4431</v>
      </c>
      <c r="X693">
        <v>5</v>
      </c>
      <c r="Y693" t="s">
        <v>6287</v>
      </c>
      <c r="Z693" t="s">
        <v>8081</v>
      </c>
      <c r="AA693">
        <v>1.280851398967652</v>
      </c>
      <c r="AB693" t="str">
        <f>HYPERLINK("Melting_Curves/meltCurve_O75355_ENTPD3.pdf", "Melting_Curves/meltCurve_O75355_ENTPD3.pdf")</f>
        <v>Melting_Curves/meltCurve_O75355_ENTPD3.pdf</v>
      </c>
    </row>
    <row r="694" spans="1:28" x14ac:dyDescent="0.25">
      <c r="A694" t="s">
        <v>698</v>
      </c>
      <c r="B694">
        <v>1</v>
      </c>
      <c r="C694">
        <v>1.11935870483526</v>
      </c>
      <c r="D694">
        <v>1.36082676778592</v>
      </c>
      <c r="E694">
        <v>1.58017171935478</v>
      </c>
      <c r="F694">
        <v>1.29042969133741</v>
      </c>
      <c r="G694">
        <v>1.39409002495235</v>
      </c>
      <c r="H694">
        <v>0.73534785940232195</v>
      </c>
      <c r="I694">
        <v>1.2607029883883101</v>
      </c>
      <c r="J694">
        <v>1.16930270939348</v>
      </c>
      <c r="K694">
        <v>1.0574886535552199</v>
      </c>
      <c r="L694">
        <v>10722.149758068599</v>
      </c>
      <c r="M694">
        <v>250</v>
      </c>
      <c r="O694">
        <v>42.885854460303598</v>
      </c>
      <c r="P694">
        <v>0.336715121639867</v>
      </c>
      <c r="Q694">
        <v>1.23104505087403</v>
      </c>
      <c r="R694">
        <v>0.107470065213624</v>
      </c>
      <c r="S694" t="s">
        <v>2568</v>
      </c>
      <c r="T694" t="s">
        <v>3746</v>
      </c>
      <c r="U694" t="s">
        <v>3746</v>
      </c>
      <c r="V694" t="s">
        <v>3746</v>
      </c>
      <c r="W694" t="s">
        <v>4432</v>
      </c>
      <c r="X694">
        <v>4</v>
      </c>
      <c r="Y694" t="s">
        <v>6288</v>
      </c>
      <c r="Z694" t="s">
        <v>8082</v>
      </c>
      <c r="AA694">
        <v>1.208781110022789</v>
      </c>
      <c r="AB694" t="str">
        <f>HYPERLINK("Melting_Curves/meltCurve_O75368_SH3BGRL.pdf", "Melting_Curves/meltCurve_O75368_SH3BGRL.pdf")</f>
        <v>Melting_Curves/meltCurve_O75368_SH3BGRL.pdf</v>
      </c>
    </row>
    <row r="695" spans="1:28" x14ac:dyDescent="0.25">
      <c r="A695" t="s">
        <v>699</v>
      </c>
      <c r="B695">
        <v>1</v>
      </c>
      <c r="C695">
        <v>1.0017932271191099</v>
      </c>
      <c r="D695">
        <v>1.6012828470928999</v>
      </c>
      <c r="E695">
        <v>2.2213945789364802</v>
      </c>
      <c r="F695">
        <v>1.6512862956065899</v>
      </c>
      <c r="G695">
        <v>1.93261604248569</v>
      </c>
      <c r="H695">
        <v>1.32229808952342</v>
      </c>
      <c r="I695">
        <v>1.9877922615352801</v>
      </c>
      <c r="J695">
        <v>1.9664114766535601</v>
      </c>
      <c r="K695">
        <v>1.8395061728395099</v>
      </c>
      <c r="L695">
        <v>10961.8569287104</v>
      </c>
      <c r="M695">
        <v>250</v>
      </c>
      <c r="O695">
        <v>43.8446415958581</v>
      </c>
      <c r="P695">
        <v>0.71274420157121698</v>
      </c>
      <c r="Q695">
        <v>1.5</v>
      </c>
      <c r="R695">
        <v>0.16523088344126299</v>
      </c>
      <c r="S695" t="s">
        <v>2569</v>
      </c>
      <c r="T695" t="s">
        <v>3746</v>
      </c>
      <c r="U695" t="s">
        <v>3746</v>
      </c>
      <c r="V695" t="s">
        <v>3746</v>
      </c>
      <c r="W695" t="s">
        <v>4433</v>
      </c>
      <c r="X695">
        <v>37</v>
      </c>
      <c r="Y695" t="s">
        <v>6289</v>
      </c>
      <c r="Z695" t="s">
        <v>8083</v>
      </c>
      <c r="AA695">
        <v>1.435837728975941</v>
      </c>
      <c r="AB695" t="str">
        <f>HYPERLINK("Melting_Curves/meltCurve_O75369_2_FLNB.pdf", "Melting_Curves/meltCurve_O75369_2_FLNB.pdf")</f>
        <v>Melting_Curves/meltCurve_O75369_2_FLNB.pdf</v>
      </c>
    </row>
    <row r="696" spans="1:28" x14ac:dyDescent="0.25">
      <c r="A696" t="s">
        <v>700</v>
      </c>
      <c r="B696">
        <v>1</v>
      </c>
      <c r="C696">
        <v>1.01471698113208</v>
      </c>
      <c r="D696">
        <v>1.6591509433962299</v>
      </c>
      <c r="E696">
        <v>1.76207547169811</v>
      </c>
      <c r="F696">
        <v>1.1842452830188701</v>
      </c>
      <c r="G696">
        <v>1.29943396226415</v>
      </c>
      <c r="H696">
        <v>0.89047169811320803</v>
      </c>
      <c r="I696">
        <v>1.26518867924528</v>
      </c>
      <c r="J696">
        <v>1.28075471698113</v>
      </c>
      <c r="K696">
        <v>1.3496226415094299</v>
      </c>
      <c r="L696">
        <v>10857.3047925511</v>
      </c>
      <c r="M696">
        <v>250</v>
      </c>
      <c r="O696">
        <v>43.426439873244597</v>
      </c>
      <c r="P696">
        <v>0.48410584244917099</v>
      </c>
      <c r="Q696">
        <v>1.33636789264696</v>
      </c>
      <c r="R696">
        <v>0.25102518497267301</v>
      </c>
      <c r="S696" t="s">
        <v>2570</v>
      </c>
      <c r="T696" t="s">
        <v>3746</v>
      </c>
      <c r="U696" t="s">
        <v>3746</v>
      </c>
      <c r="V696" t="s">
        <v>3746</v>
      </c>
      <c r="W696" t="s">
        <v>4434</v>
      </c>
      <c r="X696">
        <v>3</v>
      </c>
      <c r="Y696" t="s">
        <v>6290</v>
      </c>
      <c r="Z696" t="s">
        <v>8084</v>
      </c>
      <c r="AA696">
        <v>1.29789294796787</v>
      </c>
      <c r="AB696" t="str">
        <f>HYPERLINK("Melting_Curves/meltCurve_O75396_SEC22B.pdf", "Melting_Curves/meltCurve_O75396_SEC22B.pdf")</f>
        <v>Melting_Curves/meltCurve_O75396_SEC22B.pdf</v>
      </c>
    </row>
    <row r="697" spans="1:28" x14ac:dyDescent="0.25">
      <c r="A697" t="s">
        <v>701</v>
      </c>
      <c r="B697">
        <v>1</v>
      </c>
      <c r="C697">
        <v>1.0556623418228399</v>
      </c>
      <c r="D697">
        <v>1.3043942548988201</v>
      </c>
      <c r="E697">
        <v>1.63607240108922</v>
      </c>
      <c r="F697">
        <v>1.48849377969993</v>
      </c>
      <c r="G697">
        <v>1.31200277644295</v>
      </c>
      <c r="H697">
        <v>1.0377489454856099</v>
      </c>
      <c r="I697">
        <v>2.2847455817181901</v>
      </c>
      <c r="J697">
        <v>2.49855838539164</v>
      </c>
      <c r="K697">
        <v>2.3168615516044602</v>
      </c>
      <c r="L697">
        <v>2410.0117704612899</v>
      </c>
      <c r="M697">
        <v>52.926277571703302</v>
      </c>
      <c r="O697">
        <v>45.470391145698599</v>
      </c>
      <c r="P697">
        <v>0.14549664192943801</v>
      </c>
      <c r="Q697">
        <v>1.5</v>
      </c>
      <c r="R697">
        <v>0.13429638185762799</v>
      </c>
      <c r="S697" t="s">
        <v>2571</v>
      </c>
      <c r="T697" t="s">
        <v>3746</v>
      </c>
      <c r="U697" t="s">
        <v>3746</v>
      </c>
      <c r="V697" t="s">
        <v>3746</v>
      </c>
      <c r="W697" t="s">
        <v>4435</v>
      </c>
      <c r="X697">
        <v>1</v>
      </c>
      <c r="Y697" t="s">
        <v>6291</v>
      </c>
      <c r="Z697" t="s">
        <v>8085</v>
      </c>
      <c r="AA697">
        <v>1.4068428513627189</v>
      </c>
      <c r="AB697" t="str">
        <f>HYPERLINK("Melting_Curves/meltCurve_O75493_CA11.pdf", "Melting_Curves/meltCurve_O75493_CA11.pdf")</f>
        <v>Melting_Curves/meltCurve_O75493_CA11.pdf</v>
      </c>
    </row>
    <row r="698" spans="1:28" x14ac:dyDescent="0.25">
      <c r="A698" t="s">
        <v>702</v>
      </c>
      <c r="B698">
        <v>1</v>
      </c>
      <c r="C698">
        <v>1.0605366748741401</v>
      </c>
      <c r="D698">
        <v>1.3653843137869901</v>
      </c>
      <c r="E698">
        <v>1.73470507974844</v>
      </c>
      <c r="F698">
        <v>1.29611216536236</v>
      </c>
      <c r="G698">
        <v>1.6958110502956301</v>
      </c>
      <c r="H698">
        <v>0.84271442686197295</v>
      </c>
      <c r="I698">
        <v>1.44227843733827</v>
      </c>
      <c r="J698">
        <v>1.44307827423427</v>
      </c>
      <c r="K698">
        <v>1.35748004328529</v>
      </c>
      <c r="L698">
        <v>2751.7409725147299</v>
      </c>
      <c r="M698">
        <v>62.379167080730497</v>
      </c>
      <c r="O698">
        <v>44.067871988419597</v>
      </c>
      <c r="P698">
        <v>0.14187017789155701</v>
      </c>
      <c r="Q698">
        <v>1.4008975957915899</v>
      </c>
      <c r="R698">
        <v>0.29296770005934197</v>
      </c>
      <c r="S698" t="s">
        <v>2572</v>
      </c>
      <c r="T698" t="s">
        <v>3746</v>
      </c>
      <c r="U698" t="s">
        <v>3746</v>
      </c>
      <c r="V698" t="s">
        <v>3746</v>
      </c>
      <c r="W698" t="s">
        <v>4436</v>
      </c>
      <c r="X698">
        <v>4</v>
      </c>
      <c r="Y698" t="s">
        <v>6292</v>
      </c>
      <c r="Z698" t="s">
        <v>8086</v>
      </c>
      <c r="AA698">
        <v>1.3454201082377391</v>
      </c>
      <c r="AB698" t="str">
        <f>HYPERLINK("Melting_Curves/meltCurve_O75503_CLN5.pdf", "Melting_Curves/meltCurve_O75503_CLN5.pdf")</f>
        <v>Melting_Curves/meltCurve_O75503_CLN5.pdf</v>
      </c>
    </row>
    <row r="699" spans="1:28" x14ac:dyDescent="0.25">
      <c r="A699" t="s">
        <v>703</v>
      </c>
      <c r="B699">
        <v>1</v>
      </c>
      <c r="C699">
        <v>1.2603519100235001</v>
      </c>
      <c r="D699">
        <v>1.5953474068053499</v>
      </c>
      <c r="E699">
        <v>1.76965489972102</v>
      </c>
      <c r="F699">
        <v>1.30252839224128</v>
      </c>
      <c r="G699">
        <v>1.6553170924587599</v>
      </c>
      <c r="H699">
        <v>0.65031961865430699</v>
      </c>
      <c r="I699">
        <v>1.30977747512247</v>
      </c>
      <c r="J699">
        <v>1.0619137578806299</v>
      </c>
      <c r="K699">
        <v>1.1202029743206701</v>
      </c>
      <c r="L699">
        <v>1.0000000000000001E-5</v>
      </c>
      <c r="M699">
        <v>0.18082191867921801</v>
      </c>
      <c r="Q699">
        <v>1.5</v>
      </c>
      <c r="R699">
        <v>-5.3115865039643503E-9</v>
      </c>
      <c r="S699" t="s">
        <v>2573</v>
      </c>
      <c r="T699" t="s">
        <v>3746</v>
      </c>
      <c r="U699" t="s">
        <v>3746</v>
      </c>
      <c r="V699" t="s">
        <v>3746</v>
      </c>
      <c r="W699" t="s">
        <v>4437</v>
      </c>
      <c r="X699">
        <v>2</v>
      </c>
      <c r="Y699" t="s">
        <v>6293</v>
      </c>
      <c r="Z699" t="s">
        <v>8087</v>
      </c>
      <c r="AA699">
        <v>1.2725413314097609</v>
      </c>
      <c r="AB699" t="str">
        <f>HYPERLINK("Melting_Curves/meltCurve_O75629_CREG1.pdf", "Melting_Curves/meltCurve_O75629_CREG1.pdf")</f>
        <v>Melting_Curves/meltCurve_O75629_CREG1.pdf</v>
      </c>
    </row>
    <row r="700" spans="1:28" x14ac:dyDescent="0.25">
      <c r="A700" t="s">
        <v>704</v>
      </c>
      <c r="B700">
        <v>1</v>
      </c>
      <c r="C700">
        <v>0.98028901197512097</v>
      </c>
      <c r="D700">
        <v>1.41452898887067</v>
      </c>
      <c r="E700">
        <v>1.5411909108724999</v>
      </c>
      <c r="F700">
        <v>1.31839795360543</v>
      </c>
      <c r="G700">
        <v>1.40782457117513</v>
      </c>
      <c r="H700">
        <v>0.94912894142401805</v>
      </c>
      <c r="I700">
        <v>1.33882064135491</v>
      </c>
      <c r="J700">
        <v>1.5052964899794701</v>
      </c>
      <c r="K700">
        <v>1.2789966065331999</v>
      </c>
      <c r="L700">
        <v>11072.3427876845</v>
      </c>
      <c r="M700">
        <v>250</v>
      </c>
      <c r="O700">
        <v>44.286536946649299</v>
      </c>
      <c r="P700">
        <v>0.48586362626597401</v>
      </c>
      <c r="Q700">
        <v>1.3442754783967901</v>
      </c>
      <c r="R700">
        <v>0.46014043041260799</v>
      </c>
      <c r="S700" t="s">
        <v>2574</v>
      </c>
      <c r="T700" t="s">
        <v>3746</v>
      </c>
      <c r="U700" t="s">
        <v>3746</v>
      </c>
      <c r="V700" t="s">
        <v>3746</v>
      </c>
      <c r="W700" t="s">
        <v>4438</v>
      </c>
      <c r="X700">
        <v>1</v>
      </c>
      <c r="Y700" t="s">
        <v>6294</v>
      </c>
      <c r="Z700" t="s">
        <v>8088</v>
      </c>
      <c r="AA700">
        <v>1.295024542011209</v>
      </c>
      <c r="AB700" t="str">
        <f>HYPERLINK("Melting_Curves/meltCurve_O75695_RP2.pdf", "Melting_Curves/meltCurve_O75695_RP2.pdf")</f>
        <v>Melting_Curves/meltCurve_O75695_RP2.pdf</v>
      </c>
    </row>
    <row r="701" spans="1:28" x14ac:dyDescent="0.25">
      <c r="A701" t="s">
        <v>705</v>
      </c>
      <c r="B701">
        <v>1</v>
      </c>
      <c r="C701">
        <v>1.3611695906432699</v>
      </c>
      <c r="D701">
        <v>2.9235867446393802</v>
      </c>
      <c r="E701">
        <v>10.5894736842105</v>
      </c>
      <c r="F701">
        <v>14.3680311890838</v>
      </c>
      <c r="G701">
        <v>9.6132553606237803</v>
      </c>
      <c r="H701">
        <v>12.8023391812866</v>
      </c>
      <c r="I701">
        <v>8.6081871345029199</v>
      </c>
      <c r="J701">
        <v>18.823391812865498</v>
      </c>
      <c r="K701">
        <v>15.6499025341131</v>
      </c>
      <c r="S701" t="s">
        <v>2575</v>
      </c>
      <c r="T701" t="s">
        <v>3746</v>
      </c>
      <c r="U701" t="s">
        <v>3747</v>
      </c>
      <c r="V701" t="s">
        <v>3746</v>
      </c>
      <c r="W701" t="s">
        <v>4439</v>
      </c>
      <c r="X701">
        <v>1</v>
      </c>
      <c r="Y701" t="s">
        <v>6295</v>
      </c>
      <c r="Z701" t="s">
        <v>8089</v>
      </c>
      <c r="AB701" t="str">
        <f>HYPERLINK("Melting_Curves/meltCurve_O75818_2_RPP40.pdf", "Melting_Curves/meltCurve_O75818_2_RPP40.pdf")</f>
        <v>Melting_Curves/meltCurve_O75818_2_RPP40.pdf</v>
      </c>
    </row>
    <row r="702" spans="1:28" x14ac:dyDescent="0.25">
      <c r="A702" t="s">
        <v>706</v>
      </c>
      <c r="B702">
        <v>1</v>
      </c>
      <c r="C702">
        <v>0.99220587247194802</v>
      </c>
      <c r="D702">
        <v>1.39454411073036</v>
      </c>
      <c r="E702">
        <v>1.9708392125243599</v>
      </c>
      <c r="F702">
        <v>2.18208694483639</v>
      </c>
      <c r="G702">
        <v>2.9796412013706899</v>
      </c>
      <c r="H702">
        <v>2.2987300947389602</v>
      </c>
      <c r="I702">
        <v>3.40576496674058</v>
      </c>
      <c r="J702">
        <v>3.7728952496136499</v>
      </c>
      <c r="K702">
        <v>3.35523751931734</v>
      </c>
      <c r="L702">
        <v>11381.0476200347</v>
      </c>
      <c r="M702">
        <v>248.733545675095</v>
      </c>
      <c r="O702">
        <v>45.7530239765983</v>
      </c>
      <c r="P702">
        <v>0.67955493557760505</v>
      </c>
      <c r="Q702">
        <v>1.5</v>
      </c>
      <c r="R702">
        <v>-0.694434316224947</v>
      </c>
      <c r="S702" t="s">
        <v>2576</v>
      </c>
      <c r="T702" t="s">
        <v>3746</v>
      </c>
      <c r="U702" t="s">
        <v>3746</v>
      </c>
      <c r="V702" t="s">
        <v>3746</v>
      </c>
      <c r="W702" t="s">
        <v>4440</v>
      </c>
      <c r="X702">
        <v>11</v>
      </c>
      <c r="Y702" t="s">
        <v>6296</v>
      </c>
      <c r="Z702" t="s">
        <v>8090</v>
      </c>
      <c r="AA702">
        <v>1.4040264074055679</v>
      </c>
      <c r="AB702" t="str">
        <f>HYPERLINK("Melting_Curves/meltCurve_O75874_IDH1.pdf", "Melting_Curves/meltCurve_O75874_IDH1.pdf")</f>
        <v>Melting_Curves/meltCurve_O75874_IDH1.pdf</v>
      </c>
    </row>
    <row r="703" spans="1:28" x14ac:dyDescent="0.25">
      <c r="A703" t="s">
        <v>707</v>
      </c>
      <c r="B703">
        <v>1</v>
      </c>
      <c r="C703">
        <v>1.02057873296811</v>
      </c>
      <c r="D703">
        <v>1.2740553448518099</v>
      </c>
      <c r="E703">
        <v>1.43032729315915</v>
      </c>
      <c r="F703">
        <v>0.97794634077819897</v>
      </c>
      <c r="G703">
        <v>0.91986234021632296</v>
      </c>
      <c r="H703">
        <v>0.635461441213654</v>
      </c>
      <c r="I703">
        <v>0.88853771597134401</v>
      </c>
      <c r="J703">
        <v>0.98265205787329701</v>
      </c>
      <c r="K703">
        <v>0.88551762888046104</v>
      </c>
      <c r="L703">
        <v>14243.753786789701</v>
      </c>
      <c r="M703">
        <v>250</v>
      </c>
      <c r="O703">
        <v>56.971345653689802</v>
      </c>
      <c r="P703">
        <v>-0.16670410857949</v>
      </c>
      <c r="Q703">
        <v>0.84804221890454901</v>
      </c>
      <c r="R703">
        <v>0.23166900623404099</v>
      </c>
      <c r="S703" t="s">
        <v>2577</v>
      </c>
      <c r="T703" t="s">
        <v>3746</v>
      </c>
      <c r="U703" t="s">
        <v>3746</v>
      </c>
      <c r="V703" t="s">
        <v>3746</v>
      </c>
      <c r="W703" t="s">
        <v>4441</v>
      </c>
      <c r="X703">
        <v>17</v>
      </c>
      <c r="Y703" t="s">
        <v>6297</v>
      </c>
      <c r="Z703" t="s">
        <v>8091</v>
      </c>
      <c r="AA703">
        <v>0.93404026773079174</v>
      </c>
      <c r="AB703" t="str">
        <f>HYPERLINK("Melting_Curves/meltCurve_O75882_3_ATRN.pdf", "Melting_Curves/meltCurve_O75882_3_ATRN.pdf")</f>
        <v>Melting_Curves/meltCurve_O75882_3_ATRN.pdf</v>
      </c>
    </row>
    <row r="704" spans="1:28" x14ac:dyDescent="0.25">
      <c r="A704" t="s">
        <v>708</v>
      </c>
      <c r="B704">
        <v>1</v>
      </c>
      <c r="C704">
        <v>1.21760856106836</v>
      </c>
      <c r="D704">
        <v>1.3333554435305599</v>
      </c>
      <c r="E704">
        <v>2.1184664367206198</v>
      </c>
      <c r="F704">
        <v>1.23003449190767</v>
      </c>
      <c r="G704">
        <v>1.31546829397718</v>
      </c>
      <c r="H704">
        <v>1.56179800123817</v>
      </c>
      <c r="I704">
        <v>1.8998629167772201</v>
      </c>
      <c r="J704">
        <v>2.0621959847881799</v>
      </c>
      <c r="K704">
        <v>1.8842088971433599</v>
      </c>
      <c r="L704">
        <v>1572.5417126713301</v>
      </c>
      <c r="M704">
        <v>36.147652187920698</v>
      </c>
      <c r="O704">
        <v>43.370799810350199</v>
      </c>
      <c r="P704">
        <v>0.104182347068874</v>
      </c>
      <c r="Q704">
        <v>1.5</v>
      </c>
      <c r="R704">
        <v>0.20982164158321301</v>
      </c>
      <c r="S704" t="s">
        <v>2578</v>
      </c>
      <c r="T704" t="s">
        <v>3746</v>
      </c>
      <c r="U704" t="s">
        <v>3746</v>
      </c>
      <c r="V704" t="s">
        <v>3746</v>
      </c>
      <c r="W704" t="s">
        <v>4442</v>
      </c>
      <c r="X704">
        <v>1</v>
      </c>
      <c r="Y704" t="s">
        <v>6298</v>
      </c>
      <c r="Z704" t="s">
        <v>8092</v>
      </c>
      <c r="AA704">
        <v>1.4390995711892951</v>
      </c>
      <c r="AB704" t="str">
        <f>HYPERLINK("Melting_Curves/meltCurve_O75884_RBBP9.pdf", "Melting_Curves/meltCurve_O75884_RBBP9.pdf")</f>
        <v>Melting_Curves/meltCurve_O75884_RBBP9.pdf</v>
      </c>
    </row>
    <row r="705" spans="1:28" x14ac:dyDescent="0.25">
      <c r="A705" t="s">
        <v>709</v>
      </c>
      <c r="B705">
        <v>1</v>
      </c>
      <c r="C705">
        <v>1.05839702135998</v>
      </c>
      <c r="D705">
        <v>1.51469723691946</v>
      </c>
      <c r="E705">
        <v>2.14844209288654</v>
      </c>
      <c r="F705">
        <v>1.7785616304134799</v>
      </c>
      <c r="G705">
        <v>2.4366059180874</v>
      </c>
      <c r="H705">
        <v>2.2803252988438198</v>
      </c>
      <c r="I705">
        <v>3.8986870468352</v>
      </c>
      <c r="J705">
        <v>4.2516166960611397</v>
      </c>
      <c r="K705">
        <v>3.9858906525573201</v>
      </c>
      <c r="L705">
        <v>10811.792943488401</v>
      </c>
      <c r="M705">
        <v>250</v>
      </c>
      <c r="O705">
        <v>43.244403843906198</v>
      </c>
      <c r="P705">
        <v>0.72263684942550899</v>
      </c>
      <c r="Q705">
        <v>1.5</v>
      </c>
      <c r="R705">
        <v>-0.62970754655828998</v>
      </c>
      <c r="S705" t="s">
        <v>2579</v>
      </c>
      <c r="T705" t="s">
        <v>3746</v>
      </c>
      <c r="U705" t="s">
        <v>3746</v>
      </c>
      <c r="V705" t="s">
        <v>3746</v>
      </c>
      <c r="W705" t="s">
        <v>4443</v>
      </c>
      <c r="X705">
        <v>22</v>
      </c>
      <c r="Y705" t="s">
        <v>6299</v>
      </c>
      <c r="Z705" t="s">
        <v>8093</v>
      </c>
      <c r="AA705">
        <v>1.445842521373655</v>
      </c>
      <c r="AB705" t="str">
        <f>HYPERLINK("Melting_Curves/meltCurve_O75891_ALDH1L1.pdf", "Melting_Curves/meltCurve_O75891_ALDH1L1.pdf")</f>
        <v>Melting_Curves/meltCurve_O75891_ALDH1L1.pdf</v>
      </c>
    </row>
    <row r="706" spans="1:28" x14ac:dyDescent="0.25">
      <c r="A706" t="s">
        <v>710</v>
      </c>
      <c r="B706">
        <v>1</v>
      </c>
      <c r="C706">
        <v>1.01765118498672</v>
      </c>
      <c r="D706">
        <v>1.4987983395237101</v>
      </c>
      <c r="E706">
        <v>1.8879293492634801</v>
      </c>
      <c r="F706">
        <v>1.26203097869209</v>
      </c>
      <c r="G706">
        <v>1.3255062497843899</v>
      </c>
      <c r="H706">
        <v>0.90717891517082005</v>
      </c>
      <c r="I706">
        <v>1.3633384312868699</v>
      </c>
      <c r="J706">
        <v>1.29917321159574</v>
      </c>
      <c r="K706">
        <v>1.24558720375332</v>
      </c>
      <c r="L706">
        <v>10850.7533002581</v>
      </c>
      <c r="M706">
        <v>250</v>
      </c>
      <c r="O706">
        <v>43.400227650287697</v>
      </c>
      <c r="P706">
        <v>0.502147099959944</v>
      </c>
      <c r="Q706">
        <v>1.3486928396567199</v>
      </c>
      <c r="R706">
        <v>0.258860789125196</v>
      </c>
      <c r="S706" t="s">
        <v>2580</v>
      </c>
      <c r="T706" t="s">
        <v>3746</v>
      </c>
      <c r="U706" t="s">
        <v>3746</v>
      </c>
      <c r="V706" t="s">
        <v>3746</v>
      </c>
      <c r="W706" t="s">
        <v>4444</v>
      </c>
      <c r="X706">
        <v>4</v>
      </c>
      <c r="Y706" t="s">
        <v>6300</v>
      </c>
      <c r="Z706" t="s">
        <v>8094</v>
      </c>
      <c r="AA706">
        <v>1.3091127346112441</v>
      </c>
      <c r="AB706" t="str">
        <f>HYPERLINK("Melting_Curves/meltCurve_O75976_CPD.pdf", "Melting_Curves/meltCurve_O75976_CPD.pdf")</f>
        <v>Melting_Curves/meltCurve_O75976_CPD.pdf</v>
      </c>
    </row>
    <row r="707" spans="1:28" x14ac:dyDescent="0.25">
      <c r="A707" t="s">
        <v>711</v>
      </c>
      <c r="B707">
        <v>1</v>
      </c>
      <c r="C707">
        <v>1.12043378995434</v>
      </c>
      <c r="D707">
        <v>1.6560835235920901</v>
      </c>
      <c r="E707">
        <v>1.5384084855403299</v>
      </c>
      <c r="F707">
        <v>1.6442874809741199</v>
      </c>
      <c r="G707">
        <v>2.30798135464231</v>
      </c>
      <c r="H707">
        <v>1.2339469178082201</v>
      </c>
      <c r="I707">
        <v>2.1824819254185699</v>
      </c>
      <c r="J707">
        <v>2.2603215372907202</v>
      </c>
      <c r="K707">
        <v>2.0086805555555598</v>
      </c>
      <c r="L707">
        <v>10774.246097589399</v>
      </c>
      <c r="M707">
        <v>250</v>
      </c>
      <c r="O707">
        <v>43.094226490418301</v>
      </c>
      <c r="P707">
        <v>0.72515514483024701</v>
      </c>
      <c r="Q707">
        <v>1.5</v>
      </c>
      <c r="R707">
        <v>6.1350365542852704E-3</v>
      </c>
      <c r="S707" t="s">
        <v>2581</v>
      </c>
      <c r="T707" t="s">
        <v>3746</v>
      </c>
      <c r="U707" t="s">
        <v>3746</v>
      </c>
      <c r="V707" t="s">
        <v>3746</v>
      </c>
      <c r="W707" t="s">
        <v>4445</v>
      </c>
      <c r="X707">
        <v>1</v>
      </c>
      <c r="Y707" t="s">
        <v>6301</v>
      </c>
      <c r="Z707" t="s">
        <v>8095</v>
      </c>
      <c r="AA707">
        <v>1.4483457762159651</v>
      </c>
      <c r="AB707" t="str">
        <f>HYPERLINK("Melting_Curves/meltCurve_O76003_GLRX3.pdf", "Melting_Curves/meltCurve_O76003_GLRX3.pdf")</f>
        <v>Melting_Curves/meltCurve_O76003_GLRX3.pdf</v>
      </c>
    </row>
    <row r="708" spans="1:28" x14ac:dyDescent="0.25">
      <c r="A708" t="s">
        <v>712</v>
      </c>
      <c r="B708">
        <v>1</v>
      </c>
      <c r="C708">
        <v>1.2499810448100701</v>
      </c>
      <c r="D708">
        <v>1.4690272196527401</v>
      </c>
      <c r="E708">
        <v>1.9009780878004401</v>
      </c>
      <c r="F708">
        <v>1.2765941314732001</v>
      </c>
      <c r="G708">
        <v>1.11790128137084</v>
      </c>
      <c r="H708">
        <v>0.99294866934566695</v>
      </c>
      <c r="I708">
        <v>1.9965122450527</v>
      </c>
      <c r="J708">
        <v>1.9028736067935399</v>
      </c>
      <c r="K708">
        <v>1.9064371825005699</v>
      </c>
      <c r="L708">
        <v>2400.2557900604802</v>
      </c>
      <c r="M708">
        <v>55.935895567545899</v>
      </c>
      <c r="O708">
        <v>42.8560895894203</v>
      </c>
      <c r="P708">
        <v>0.16315046108553599</v>
      </c>
      <c r="Q708">
        <v>1.5</v>
      </c>
      <c r="R708">
        <v>0.20656123290454001</v>
      </c>
      <c r="S708" t="s">
        <v>2582</v>
      </c>
      <c r="T708" t="s">
        <v>3746</v>
      </c>
      <c r="U708" t="s">
        <v>3746</v>
      </c>
      <c r="V708" t="s">
        <v>3746</v>
      </c>
      <c r="W708" t="s">
        <v>4446</v>
      </c>
      <c r="X708">
        <v>1</v>
      </c>
      <c r="Y708" t="s">
        <v>6302</v>
      </c>
      <c r="Z708" t="s">
        <v>8096</v>
      </c>
      <c r="AA708">
        <v>1.4505487594412481</v>
      </c>
      <c r="AB708" t="str">
        <f>HYPERLINK("Melting_Curves/meltCurve_O76094_2_SRP72.pdf", "Melting_Curves/meltCurve_O76094_2_SRP72.pdf")</f>
        <v>Melting_Curves/meltCurve_O76094_2_SRP72.pdf</v>
      </c>
    </row>
    <row r="709" spans="1:28" x14ac:dyDescent="0.25">
      <c r="A709" t="s">
        <v>713</v>
      </c>
      <c r="B709">
        <v>1</v>
      </c>
      <c r="C709">
        <v>1.1708308427973699</v>
      </c>
      <c r="D709">
        <v>2.2347878063359201</v>
      </c>
      <c r="E709">
        <v>3.6258218768678998</v>
      </c>
      <c r="F709">
        <v>3.0060370591751302</v>
      </c>
      <c r="G709">
        <v>3.7625821876867902</v>
      </c>
      <c r="H709">
        <v>2.4369396294082502</v>
      </c>
      <c r="I709">
        <v>3.3163179916318</v>
      </c>
      <c r="J709">
        <v>3.2473401075911501</v>
      </c>
      <c r="K709">
        <v>2.91111775254035</v>
      </c>
      <c r="L709">
        <v>10753.1379179626</v>
      </c>
      <c r="M709">
        <v>250</v>
      </c>
      <c r="O709">
        <v>43.009803023964103</v>
      </c>
      <c r="P709">
        <v>0.72657860877042701</v>
      </c>
      <c r="Q709">
        <v>1.5</v>
      </c>
      <c r="R709">
        <v>-1.6075720406548399</v>
      </c>
      <c r="S709" t="s">
        <v>2583</v>
      </c>
      <c r="T709" t="s">
        <v>3746</v>
      </c>
      <c r="U709" t="s">
        <v>3746</v>
      </c>
      <c r="V709" t="s">
        <v>3746</v>
      </c>
      <c r="W709" t="s">
        <v>4447</v>
      </c>
      <c r="X709">
        <v>11</v>
      </c>
      <c r="Y709" t="s">
        <v>6303</v>
      </c>
      <c r="Z709" t="s">
        <v>8097</v>
      </c>
      <c r="AA709">
        <v>1.4497530622734061</v>
      </c>
      <c r="AB709" t="str">
        <f>HYPERLINK("Melting_Curves/meltCurve_O94760_DDAH1.pdf", "Melting_Curves/meltCurve_O94760_DDAH1.pdf")</f>
        <v>Melting_Curves/meltCurve_O94760_DDAH1.pdf</v>
      </c>
    </row>
    <row r="710" spans="1:28" x14ac:dyDescent="0.25">
      <c r="A710" t="s">
        <v>714</v>
      </c>
      <c r="B710">
        <v>1</v>
      </c>
      <c r="C710">
        <v>0.99103099582325804</v>
      </c>
      <c r="D710">
        <v>1.3815490584011101</v>
      </c>
      <c r="E710">
        <v>1.8502234923426399</v>
      </c>
      <c r="F710">
        <v>1.35074375320583</v>
      </c>
      <c r="G710">
        <v>1.35865758042061</v>
      </c>
      <c r="H710">
        <v>0.98084560709313395</v>
      </c>
      <c r="I710">
        <v>1.59815344031655</v>
      </c>
      <c r="J710">
        <v>1.6119293617644901</v>
      </c>
      <c r="K710">
        <v>1.3710119440170001</v>
      </c>
      <c r="L710">
        <v>11418.1522357869</v>
      </c>
      <c r="M710">
        <v>250</v>
      </c>
      <c r="O710">
        <v>45.669690742484001</v>
      </c>
      <c r="P710">
        <v>0.61027609479432499</v>
      </c>
      <c r="Q710">
        <v>1.44593788345125</v>
      </c>
      <c r="R710">
        <v>0.411535834239597</v>
      </c>
      <c r="S710" t="s">
        <v>2584</v>
      </c>
      <c r="T710" t="s">
        <v>3746</v>
      </c>
      <c r="U710" t="s">
        <v>3746</v>
      </c>
      <c r="V710" t="s">
        <v>3746</v>
      </c>
      <c r="W710" t="s">
        <v>4448</v>
      </c>
      <c r="X710">
        <v>2</v>
      </c>
      <c r="Y710" t="s">
        <v>6304</v>
      </c>
      <c r="Z710" t="s">
        <v>8098</v>
      </c>
      <c r="AA710">
        <v>1.3615810985675509</v>
      </c>
      <c r="AB710" t="str">
        <f>HYPERLINK("Melting_Curves/meltCurve_O94874_2_UFL1.pdf", "Melting_Curves/meltCurve_O94874_2_UFL1.pdf")</f>
        <v>Melting_Curves/meltCurve_O94874_2_UFL1.pdf</v>
      </c>
    </row>
    <row r="711" spans="1:28" x14ac:dyDescent="0.25">
      <c r="A711" t="s">
        <v>715</v>
      </c>
      <c r="B711">
        <v>1</v>
      </c>
      <c r="C711">
        <v>0.94722439405785797</v>
      </c>
      <c r="D711">
        <v>1.53463643471462</v>
      </c>
      <c r="E711">
        <v>2.0124315871774798</v>
      </c>
      <c r="F711">
        <v>1.5495699765441799</v>
      </c>
      <c r="G711">
        <v>2.0021892103205601</v>
      </c>
      <c r="H711">
        <v>1.23213448006255</v>
      </c>
      <c r="I711">
        <v>2.02525410476935</v>
      </c>
      <c r="J711">
        <v>2.0180609851446398</v>
      </c>
      <c r="K711">
        <v>1.8978889757623101</v>
      </c>
      <c r="L711">
        <v>11109.8304561312</v>
      </c>
      <c r="M711">
        <v>250</v>
      </c>
      <c r="O711">
        <v>44.436477981308101</v>
      </c>
      <c r="P711">
        <v>0.70325105501698504</v>
      </c>
      <c r="Q711">
        <v>1.5</v>
      </c>
      <c r="R711">
        <v>0.237737003705808</v>
      </c>
      <c r="S711" t="s">
        <v>2585</v>
      </c>
      <c r="T711" t="s">
        <v>3746</v>
      </c>
      <c r="U711" t="s">
        <v>3746</v>
      </c>
      <c r="V711" t="s">
        <v>3746</v>
      </c>
      <c r="W711" t="s">
        <v>4449</v>
      </c>
      <c r="X711">
        <v>3</v>
      </c>
      <c r="Y711" t="s">
        <v>6305</v>
      </c>
      <c r="Z711" t="s">
        <v>8099</v>
      </c>
      <c r="AA711">
        <v>1.425972307765498</v>
      </c>
      <c r="AB711" t="str">
        <f>HYPERLINK("Melting_Curves/meltCurve_O94903_PROSC.pdf", "Melting_Curves/meltCurve_O94903_PROSC.pdf")</f>
        <v>Melting_Curves/meltCurve_O94903_PROSC.pdf</v>
      </c>
    </row>
    <row r="712" spans="1:28" x14ac:dyDescent="0.25">
      <c r="A712" t="s">
        <v>716</v>
      </c>
      <c r="B712">
        <v>1</v>
      </c>
      <c r="C712">
        <v>1.07093054875727</v>
      </c>
      <c r="D712">
        <v>1.5878609887420501</v>
      </c>
      <c r="E712">
        <v>2.1430358405395098</v>
      </c>
      <c r="F712">
        <v>1.5383695001903499</v>
      </c>
      <c r="G712">
        <v>2.0219720454669101</v>
      </c>
      <c r="H712">
        <v>1.08705063359983</v>
      </c>
      <c r="I712">
        <v>2.0313264806656899</v>
      </c>
      <c r="J712">
        <v>1.9761788219937999</v>
      </c>
      <c r="K712">
        <v>1.79365856311524</v>
      </c>
      <c r="L712">
        <v>10802.2163449621</v>
      </c>
      <c r="M712">
        <v>250</v>
      </c>
      <c r="O712">
        <v>43.206100309373397</v>
      </c>
      <c r="P712">
        <v>0.72327749600922697</v>
      </c>
      <c r="Q712">
        <v>1.5</v>
      </c>
      <c r="R712">
        <v>0.15974729316487499</v>
      </c>
      <c r="S712" t="s">
        <v>2586</v>
      </c>
      <c r="T712" t="s">
        <v>3746</v>
      </c>
      <c r="U712" t="s">
        <v>3746</v>
      </c>
      <c r="V712" t="s">
        <v>3746</v>
      </c>
      <c r="W712" t="s">
        <v>4450</v>
      </c>
      <c r="X712">
        <v>9</v>
      </c>
      <c r="Y712" t="s">
        <v>6306</v>
      </c>
      <c r="Z712" t="s">
        <v>8100</v>
      </c>
      <c r="AA712">
        <v>1.44648099488795</v>
      </c>
      <c r="AB712" t="str">
        <f>HYPERLINK("Melting_Curves/meltCurve_O94985_2_CLSTN1.pdf", "Melting_Curves/meltCurve_O94985_2_CLSTN1.pdf")</f>
        <v>Melting_Curves/meltCurve_O94985_2_CLSTN1.pdf</v>
      </c>
    </row>
    <row r="713" spans="1:28" x14ac:dyDescent="0.25">
      <c r="A713" t="s">
        <v>717</v>
      </c>
      <c r="B713">
        <v>1</v>
      </c>
      <c r="C713">
        <v>0.95952034883720905</v>
      </c>
      <c r="D713">
        <v>1.21875</v>
      </c>
      <c r="E713">
        <v>1.40072674418605</v>
      </c>
      <c r="F713">
        <v>0.69978924418604604</v>
      </c>
      <c r="G713">
        <v>0.82390988372092999</v>
      </c>
      <c r="H713">
        <v>0.48369186046511597</v>
      </c>
      <c r="I713">
        <v>0.90029069767441905</v>
      </c>
      <c r="J713">
        <v>1.00399709302326</v>
      </c>
      <c r="K713">
        <v>1.2204941860465099</v>
      </c>
      <c r="S713" t="s">
        <v>2587</v>
      </c>
      <c r="T713" t="s">
        <v>3746</v>
      </c>
      <c r="U713" t="s">
        <v>3747</v>
      </c>
      <c r="V713" t="s">
        <v>3746</v>
      </c>
      <c r="W713" t="s">
        <v>4451</v>
      </c>
      <c r="X713">
        <v>1</v>
      </c>
      <c r="Y713" t="s">
        <v>6307</v>
      </c>
      <c r="Z713" t="s">
        <v>8101</v>
      </c>
      <c r="AB713" t="str">
        <f>HYPERLINK("Melting_Curves/meltCurve_O95197_3_RTN3.pdf", "Melting_Curves/meltCurve_O95197_3_RTN3.pdf")</f>
        <v>Melting_Curves/meltCurve_O95197_3_RTN3.pdf</v>
      </c>
    </row>
    <row r="714" spans="1:28" x14ac:dyDescent="0.25">
      <c r="A714" t="s">
        <v>718</v>
      </c>
      <c r="B714">
        <v>1</v>
      </c>
      <c r="C714">
        <v>1.4639453099322901</v>
      </c>
      <c r="D714">
        <v>1.5800631039242801</v>
      </c>
      <c r="E714">
        <v>2.0339512259251999</v>
      </c>
      <c r="F714">
        <v>1.59197725629396</v>
      </c>
      <c r="G714">
        <v>1.03945638598567</v>
      </c>
      <c r="H714">
        <v>1.0195720765135099</v>
      </c>
      <c r="I714">
        <v>1.20467692105436</v>
      </c>
      <c r="J714">
        <v>1.28206139485966</v>
      </c>
      <c r="K714">
        <v>1.4330999802800199</v>
      </c>
      <c r="L714">
        <v>10257.6057917894</v>
      </c>
      <c r="M714">
        <v>250</v>
      </c>
      <c r="O714">
        <v>41.027797458240798</v>
      </c>
      <c r="P714">
        <v>0.61760448730168205</v>
      </c>
      <c r="Q714">
        <v>1.40542322888963</v>
      </c>
      <c r="R714">
        <v>0.15558410492455699</v>
      </c>
      <c r="S714" t="s">
        <v>2588</v>
      </c>
      <c r="T714" t="s">
        <v>3746</v>
      </c>
      <c r="U714" t="s">
        <v>3746</v>
      </c>
      <c r="V714" t="s">
        <v>3746</v>
      </c>
      <c r="W714" t="s">
        <v>4452</v>
      </c>
      <c r="X714">
        <v>2</v>
      </c>
      <c r="Y714" t="s">
        <v>6308</v>
      </c>
      <c r="Z714" t="s">
        <v>8102</v>
      </c>
      <c r="AA714">
        <v>1.3914654496331511</v>
      </c>
      <c r="AB714" t="str">
        <f>HYPERLINK("Melting_Curves/meltCurve_O95274_LYPD3.pdf", "Melting_Curves/meltCurve_O95274_LYPD3.pdf")</f>
        <v>Melting_Curves/meltCurve_O95274_LYPD3.pdf</v>
      </c>
    </row>
    <row r="715" spans="1:28" x14ac:dyDescent="0.25">
      <c r="A715" t="s">
        <v>719</v>
      </c>
      <c r="B715">
        <v>1</v>
      </c>
      <c r="C715">
        <v>1.0064325715150599</v>
      </c>
      <c r="D715">
        <v>1.35893749054034</v>
      </c>
      <c r="E715">
        <v>1.56258513697593</v>
      </c>
      <c r="F715">
        <v>1.1132132586650501</v>
      </c>
      <c r="G715">
        <v>1.3624943242016001</v>
      </c>
      <c r="H715">
        <v>0.75645527470864204</v>
      </c>
      <c r="I715">
        <v>1.24837293779325</v>
      </c>
      <c r="J715">
        <v>1.1169214469502</v>
      </c>
      <c r="K715">
        <v>1.0894505827153</v>
      </c>
      <c r="L715">
        <v>10871.2374196935</v>
      </c>
      <c r="M715">
        <v>250</v>
      </c>
      <c r="O715">
        <v>43.482165923899402</v>
      </c>
      <c r="P715">
        <v>0.28898886178876798</v>
      </c>
      <c r="Q715">
        <v>1.20105379063537</v>
      </c>
      <c r="R715">
        <v>0.13286249020846599</v>
      </c>
      <c r="S715" t="s">
        <v>2589</v>
      </c>
      <c r="T715" t="s">
        <v>3746</v>
      </c>
      <c r="U715" t="s">
        <v>3746</v>
      </c>
      <c r="V715" t="s">
        <v>3746</v>
      </c>
      <c r="W715" t="s">
        <v>4453</v>
      </c>
      <c r="X715">
        <v>3</v>
      </c>
      <c r="Y715" t="s">
        <v>6309</v>
      </c>
      <c r="Z715" t="s">
        <v>8103</v>
      </c>
      <c r="AA715">
        <v>1.177683035696216</v>
      </c>
      <c r="AB715" t="str">
        <f>HYPERLINK("Melting_Curves/meltCurve_O95292_VAPB.pdf", "Melting_Curves/meltCurve_O95292_VAPB.pdf")</f>
        <v>Melting_Curves/meltCurve_O95292_VAPB.pdf</v>
      </c>
    </row>
    <row r="716" spans="1:28" x14ac:dyDescent="0.25">
      <c r="A716" t="s">
        <v>720</v>
      </c>
      <c r="B716">
        <v>1</v>
      </c>
      <c r="C716">
        <v>1.1374928177915999</v>
      </c>
      <c r="D716">
        <v>1.8803190590462</v>
      </c>
      <c r="E716">
        <v>2.3914557068983</v>
      </c>
      <c r="F716">
        <v>1.9429141176868201</v>
      </c>
      <c r="G716">
        <v>2.5558860310271401</v>
      </c>
      <c r="H716">
        <v>1.4143373779024599</v>
      </c>
      <c r="I716">
        <v>2.1093385608544302</v>
      </c>
      <c r="J716">
        <v>2.0185892452766399</v>
      </c>
      <c r="K716">
        <v>1.8544969074255599</v>
      </c>
      <c r="L716">
        <v>10766.5902836282</v>
      </c>
      <c r="M716">
        <v>250</v>
      </c>
      <c r="O716">
        <v>43.063605416424302</v>
      </c>
      <c r="P716">
        <v>0.72567078188264</v>
      </c>
      <c r="Q716">
        <v>1.5</v>
      </c>
      <c r="R716">
        <v>-0.30731588461208598</v>
      </c>
      <c r="S716" t="s">
        <v>2590</v>
      </c>
      <c r="T716" t="s">
        <v>3746</v>
      </c>
      <c r="U716" t="s">
        <v>3746</v>
      </c>
      <c r="V716" t="s">
        <v>3746</v>
      </c>
      <c r="W716" t="s">
        <v>4454</v>
      </c>
      <c r="X716">
        <v>5</v>
      </c>
      <c r="Y716" t="s">
        <v>6310</v>
      </c>
      <c r="Z716" t="s">
        <v>8104</v>
      </c>
      <c r="AA716">
        <v>1.448856190683006</v>
      </c>
      <c r="AB716" t="str">
        <f>HYPERLINK("Melting_Curves/meltCurve_O95336_PGLS.pdf", "Melting_Curves/meltCurve_O95336_PGLS.pdf")</f>
        <v>Melting_Curves/meltCurve_O95336_PGLS.pdf</v>
      </c>
    </row>
    <row r="717" spans="1:28" x14ac:dyDescent="0.25">
      <c r="A717" t="s">
        <v>721</v>
      </c>
      <c r="B717">
        <v>1</v>
      </c>
      <c r="C717">
        <v>1.08483348334833</v>
      </c>
      <c r="D717">
        <v>1.6041010351035101</v>
      </c>
      <c r="E717">
        <v>2.49440256525653</v>
      </c>
      <c r="F717">
        <v>2.00222209720972</v>
      </c>
      <c r="G717">
        <v>2.4158697119712</v>
      </c>
      <c r="H717">
        <v>1.5508550855085499</v>
      </c>
      <c r="I717">
        <v>2.8648177317731802</v>
      </c>
      <c r="J717">
        <v>2.9452632763276299</v>
      </c>
      <c r="K717">
        <v>2.6810306030603099</v>
      </c>
      <c r="S717" t="s">
        <v>2591</v>
      </c>
      <c r="T717" t="s">
        <v>3746</v>
      </c>
      <c r="U717" t="s">
        <v>3747</v>
      </c>
      <c r="V717" t="s">
        <v>3746</v>
      </c>
      <c r="W717" t="s">
        <v>4455</v>
      </c>
      <c r="X717">
        <v>9</v>
      </c>
      <c r="Y717" t="s">
        <v>6311</v>
      </c>
      <c r="Z717" t="s">
        <v>8105</v>
      </c>
      <c r="AB717" t="str">
        <f>HYPERLINK("Melting_Curves/meltCurve_O95394_PGM3.pdf", "Melting_Curves/meltCurve_O95394_PGM3.pdf")</f>
        <v>Melting_Curves/meltCurve_O95394_PGM3.pdf</v>
      </c>
    </row>
    <row r="718" spans="1:28" x14ac:dyDescent="0.25">
      <c r="A718" t="s">
        <v>722</v>
      </c>
      <c r="B718">
        <v>1</v>
      </c>
      <c r="C718">
        <v>0.82874468189153505</v>
      </c>
      <c r="D718">
        <v>1.2605017360262101</v>
      </c>
      <c r="E718">
        <v>1.3902880336446799</v>
      </c>
      <c r="F718">
        <v>1.0775588048315301</v>
      </c>
      <c r="G718">
        <v>0.98440021516944598</v>
      </c>
      <c r="H718">
        <v>0.72869088953005001</v>
      </c>
      <c r="I718">
        <v>1.03207980830358</v>
      </c>
      <c r="J718">
        <v>1.0883661792752699</v>
      </c>
      <c r="K718">
        <v>0.98767665900532997</v>
      </c>
      <c r="L718">
        <v>11097.9217611431</v>
      </c>
      <c r="M718">
        <v>250</v>
      </c>
      <c r="O718">
        <v>44.388846343788899</v>
      </c>
      <c r="P718">
        <v>9.6711326090470701E-2</v>
      </c>
      <c r="Q718">
        <v>1.0686864669034699</v>
      </c>
      <c r="R718">
        <v>7.2309429742390297E-2</v>
      </c>
      <c r="S718" t="s">
        <v>2592</v>
      </c>
      <c r="T718" t="s">
        <v>3746</v>
      </c>
      <c r="U718" t="s">
        <v>3746</v>
      </c>
      <c r="V718" t="s">
        <v>3746</v>
      </c>
      <c r="W718" t="s">
        <v>4456</v>
      </c>
      <c r="X718">
        <v>6</v>
      </c>
      <c r="Y718" t="s">
        <v>6312</v>
      </c>
      <c r="Z718" t="s">
        <v>8106</v>
      </c>
      <c r="AA718">
        <v>1.058626133538219</v>
      </c>
      <c r="AB718" t="str">
        <f>HYPERLINK("Melting_Curves/meltCurve_O95436_SLC34A2.pdf", "Melting_Curves/meltCurve_O95436_SLC34A2.pdf")</f>
        <v>Melting_Curves/meltCurve_O95436_SLC34A2.pdf</v>
      </c>
    </row>
    <row r="719" spans="1:28" x14ac:dyDescent="0.25">
      <c r="A719" t="s">
        <v>723</v>
      </c>
      <c r="B719">
        <v>1</v>
      </c>
      <c r="C719">
        <v>0.745758723734676</v>
      </c>
      <c r="D719">
        <v>0.89705640132708997</v>
      </c>
      <c r="E719">
        <v>1.43365726252382</v>
      </c>
      <c r="F719">
        <v>1.08731970164004</v>
      </c>
      <c r="G719">
        <v>0.98527024165274502</v>
      </c>
      <c r="H719">
        <v>0.39509164921527601</v>
      </c>
      <c r="I719">
        <v>0.78119485164356794</v>
      </c>
      <c r="J719">
        <v>0.91470387538530296</v>
      </c>
      <c r="K719">
        <v>0.80157180168945197</v>
      </c>
      <c r="L719">
        <v>14414.073450346599</v>
      </c>
      <c r="M719">
        <v>250</v>
      </c>
      <c r="O719">
        <v>57.652604946108703</v>
      </c>
      <c r="P719">
        <v>-0.300137516082225</v>
      </c>
      <c r="Q719">
        <v>0.72314064969082303</v>
      </c>
      <c r="R719">
        <v>0.33603873526348899</v>
      </c>
      <c r="S719" t="s">
        <v>2593</v>
      </c>
      <c r="T719" t="s">
        <v>3746</v>
      </c>
      <c r="U719" t="s">
        <v>3746</v>
      </c>
      <c r="V719" t="s">
        <v>3746</v>
      </c>
      <c r="W719" t="s">
        <v>4457</v>
      </c>
      <c r="X719">
        <v>5</v>
      </c>
      <c r="Y719" t="s">
        <v>6312</v>
      </c>
      <c r="Z719" t="s">
        <v>8107</v>
      </c>
      <c r="AA719">
        <v>0.8861123316435483</v>
      </c>
      <c r="AB719" t="str">
        <f>HYPERLINK("Melting_Curves/meltCurve_O95436_2_SLC34A2.pdf", "Melting_Curves/meltCurve_O95436_2_SLC34A2.pdf")</f>
        <v>Melting_Curves/meltCurve_O95436_2_SLC34A2.pdf</v>
      </c>
    </row>
    <row r="720" spans="1:28" x14ac:dyDescent="0.25">
      <c r="A720" t="s">
        <v>724</v>
      </c>
      <c r="B720">
        <v>1</v>
      </c>
      <c r="C720">
        <v>0.96400441083805899</v>
      </c>
      <c r="D720">
        <v>1.47353497164461</v>
      </c>
      <c r="E720">
        <v>1.57931632010082</v>
      </c>
      <c r="F720">
        <v>1.01921865154379</v>
      </c>
      <c r="G720">
        <v>1.1702110901071201</v>
      </c>
      <c r="H720">
        <v>0.87310964083175802</v>
      </c>
      <c r="I720">
        <v>1.28835853812224</v>
      </c>
      <c r="J720">
        <v>1.36767485822306</v>
      </c>
      <c r="K720">
        <v>1.21904536862004</v>
      </c>
      <c r="L720">
        <v>11059.9604730887</v>
      </c>
      <c r="M720">
        <v>250</v>
      </c>
      <c r="O720">
        <v>44.2370119549512</v>
      </c>
      <c r="P720">
        <v>0.351525584670901</v>
      </c>
      <c r="Q720">
        <v>1.24880705728179</v>
      </c>
      <c r="R720">
        <v>0.23066628018763999</v>
      </c>
      <c r="S720" t="s">
        <v>2594</v>
      </c>
      <c r="T720" t="s">
        <v>3746</v>
      </c>
      <c r="U720" t="s">
        <v>3746</v>
      </c>
      <c r="V720" t="s">
        <v>3746</v>
      </c>
      <c r="W720" t="s">
        <v>4458</v>
      </c>
      <c r="X720">
        <v>4</v>
      </c>
      <c r="Y720" t="s">
        <v>6313</v>
      </c>
      <c r="Z720" t="s">
        <v>8108</v>
      </c>
      <c r="AA720">
        <v>1.213624320357743</v>
      </c>
      <c r="AB720" t="str">
        <f>HYPERLINK("Melting_Curves/meltCurve_O95573_ACSL3.pdf", "Melting_Curves/meltCurve_O95573_ACSL3.pdf")</f>
        <v>Melting_Curves/meltCurve_O95573_ACSL3.pdf</v>
      </c>
    </row>
    <row r="721" spans="1:28" x14ac:dyDescent="0.25">
      <c r="A721" t="s">
        <v>725</v>
      </c>
      <c r="B721">
        <v>1</v>
      </c>
      <c r="C721">
        <v>0.96730824111361302</v>
      </c>
      <c r="D721">
        <v>1.11621270253987</v>
      </c>
      <c r="E721">
        <v>1.69147350730888</v>
      </c>
      <c r="F721">
        <v>1.2722516409297</v>
      </c>
      <c r="G721">
        <v>1.3722611535656499</v>
      </c>
      <c r="H721">
        <v>0.88978025810952199</v>
      </c>
      <c r="I721">
        <v>1.5632431746837001</v>
      </c>
      <c r="J721">
        <v>1.2013825030916101</v>
      </c>
      <c r="K721">
        <v>1.1328281066683601</v>
      </c>
      <c r="L721">
        <v>11521.9072710771</v>
      </c>
      <c r="M721">
        <v>250</v>
      </c>
      <c r="O721">
        <v>46.084666272024997</v>
      </c>
      <c r="P721">
        <v>0.41135849446822798</v>
      </c>
      <c r="Q721">
        <v>1.3033171919414099</v>
      </c>
      <c r="R721">
        <v>0.28141266633013201</v>
      </c>
      <c r="S721" t="s">
        <v>2595</v>
      </c>
      <c r="T721" t="s">
        <v>3746</v>
      </c>
      <c r="U721" t="s">
        <v>3746</v>
      </c>
      <c r="V721" t="s">
        <v>3746</v>
      </c>
      <c r="W721" t="s">
        <v>4459</v>
      </c>
      <c r="X721">
        <v>3</v>
      </c>
      <c r="Y721" t="s">
        <v>6314</v>
      </c>
      <c r="Z721" t="s">
        <v>8109</v>
      </c>
      <c r="AA721">
        <v>1.241743240067432</v>
      </c>
      <c r="AB721" t="str">
        <f>HYPERLINK("Melting_Curves/meltCurve_O95716_RAB3D.pdf", "Melting_Curves/meltCurve_O95716_RAB3D.pdf")</f>
        <v>Melting_Curves/meltCurve_O95716_RAB3D.pdf</v>
      </c>
    </row>
    <row r="722" spans="1:28" x14ac:dyDescent="0.25">
      <c r="A722" t="s">
        <v>726</v>
      </c>
      <c r="B722">
        <v>1</v>
      </c>
      <c r="C722">
        <v>1.0706587867199699</v>
      </c>
      <c r="D722">
        <v>1.2914131757344001</v>
      </c>
      <c r="E722">
        <v>1.5468451242829799</v>
      </c>
      <c r="F722">
        <v>1.0455414566313199</v>
      </c>
      <c r="G722">
        <v>1.1401008169650599</v>
      </c>
      <c r="H722">
        <v>0.73119242134538498</v>
      </c>
      <c r="I722">
        <v>1.11802537806362</v>
      </c>
      <c r="J722">
        <v>0.96801668694594101</v>
      </c>
      <c r="K722">
        <v>1.0031288023639799</v>
      </c>
      <c r="S722" t="s">
        <v>2596</v>
      </c>
      <c r="T722" t="s">
        <v>3746</v>
      </c>
      <c r="U722" t="s">
        <v>3747</v>
      </c>
      <c r="V722" t="s">
        <v>3746</v>
      </c>
      <c r="W722" t="s">
        <v>4460</v>
      </c>
      <c r="X722">
        <v>4</v>
      </c>
      <c r="Y722" t="s">
        <v>6315</v>
      </c>
      <c r="Z722" t="s">
        <v>8110</v>
      </c>
      <c r="AB722" t="str">
        <f>HYPERLINK("Melting_Curves/meltCurve_O95721_SNAP29.pdf", "Melting_Curves/meltCurve_O95721_SNAP29.pdf")</f>
        <v>Melting_Curves/meltCurve_O95721_SNAP29.pdf</v>
      </c>
    </row>
    <row r="723" spans="1:28" x14ac:dyDescent="0.25">
      <c r="A723" t="s">
        <v>727</v>
      </c>
      <c r="B723">
        <v>1</v>
      </c>
      <c r="C723">
        <v>1.33478281993975</v>
      </c>
      <c r="D723">
        <v>1.5512340880380899</v>
      </c>
      <c r="E723">
        <v>1.87080944514624</v>
      </c>
      <c r="F723">
        <v>1.51552327276261</v>
      </c>
      <c r="G723">
        <v>1.8204013215431001</v>
      </c>
      <c r="H723">
        <v>0.82890389660868702</v>
      </c>
      <c r="I723">
        <v>1.6835098629870799</v>
      </c>
      <c r="J723">
        <v>1.45066077154795</v>
      </c>
      <c r="K723">
        <v>1.4268535613643001</v>
      </c>
      <c r="L723">
        <v>10694.703109640601</v>
      </c>
      <c r="M723">
        <v>250</v>
      </c>
      <c r="O723">
        <v>42.776054821310098</v>
      </c>
      <c r="P723">
        <v>0.73054856056981499</v>
      </c>
      <c r="Q723">
        <v>1.5</v>
      </c>
      <c r="R723">
        <v>0.25424977004156202</v>
      </c>
      <c r="S723" t="s">
        <v>2597</v>
      </c>
      <c r="T723" t="s">
        <v>3746</v>
      </c>
      <c r="U723" t="s">
        <v>3746</v>
      </c>
      <c r="V723" t="s">
        <v>3746</v>
      </c>
      <c r="W723" t="s">
        <v>4461</v>
      </c>
      <c r="X723">
        <v>1</v>
      </c>
      <c r="Y723" t="s">
        <v>6316</v>
      </c>
      <c r="Z723" t="s">
        <v>8111</v>
      </c>
      <c r="AA723">
        <v>1.4536489212113251</v>
      </c>
      <c r="AB723" t="str">
        <f>HYPERLINK("Melting_Curves/meltCurve_O95747_OXSR1.pdf", "Melting_Curves/meltCurve_O95747_OXSR1.pdf")</f>
        <v>Melting_Curves/meltCurve_O95747_OXSR1.pdf</v>
      </c>
    </row>
    <row r="724" spans="1:28" x14ac:dyDescent="0.25">
      <c r="A724" t="s">
        <v>728</v>
      </c>
      <c r="B724">
        <v>1</v>
      </c>
      <c r="C724">
        <v>1.08492982276406</v>
      </c>
      <c r="D724">
        <v>1.3141839975412399</v>
      </c>
      <c r="E724">
        <v>1.52066898883311</v>
      </c>
      <c r="F724">
        <v>1.1736758528839299</v>
      </c>
      <c r="G724">
        <v>1.2810675135744301</v>
      </c>
      <c r="H724">
        <v>0.78245056858928397</v>
      </c>
      <c r="I724">
        <v>1.19009322815285</v>
      </c>
      <c r="J724">
        <v>1.19193730150599</v>
      </c>
      <c r="K724">
        <v>1.07358364921627</v>
      </c>
      <c r="L724">
        <v>10734.518461866501</v>
      </c>
      <c r="M724">
        <v>250</v>
      </c>
      <c r="O724">
        <v>42.935326100577399</v>
      </c>
      <c r="P724">
        <v>0.27797278786271701</v>
      </c>
      <c r="Q724">
        <v>1.19095763645733</v>
      </c>
      <c r="R724">
        <v>0.11051878397925</v>
      </c>
      <c r="S724" t="s">
        <v>2598</v>
      </c>
      <c r="T724" t="s">
        <v>3746</v>
      </c>
      <c r="U724" t="s">
        <v>3746</v>
      </c>
      <c r="V724" t="s">
        <v>3746</v>
      </c>
      <c r="W724" t="s">
        <v>4462</v>
      </c>
      <c r="X724">
        <v>5</v>
      </c>
      <c r="Y724" t="s">
        <v>6317</v>
      </c>
      <c r="Z724" t="s">
        <v>8112</v>
      </c>
      <c r="AA724">
        <v>1.1722416587886391</v>
      </c>
      <c r="AB724" t="str">
        <f>HYPERLINK("Melting_Curves/meltCurve_O95793_3_STAU1.pdf", "Melting_Curves/meltCurve_O95793_3_STAU1.pdf")</f>
        <v>Melting_Curves/meltCurve_O95793_3_STAU1.pdf</v>
      </c>
    </row>
    <row r="725" spans="1:28" x14ac:dyDescent="0.25">
      <c r="A725" t="s">
        <v>729</v>
      </c>
      <c r="B725">
        <v>1</v>
      </c>
      <c r="C725">
        <v>0.89835762015940701</v>
      </c>
      <c r="D725">
        <v>1.2180044548211399</v>
      </c>
      <c r="E725">
        <v>1.3297641091699499</v>
      </c>
      <c r="F725">
        <v>0.97014464750556895</v>
      </c>
      <c r="G725">
        <v>1.2003998604513899</v>
      </c>
      <c r="H725">
        <v>0.73397203660467503</v>
      </c>
      <c r="I725">
        <v>1.06246142285914</v>
      </c>
      <c r="J725">
        <v>1.0907468534471201</v>
      </c>
      <c r="K725">
        <v>0.94019536805946902</v>
      </c>
      <c r="L725">
        <v>15000</v>
      </c>
      <c r="M725">
        <v>211.53058540461899</v>
      </c>
      <c r="Q725">
        <v>0</v>
      </c>
      <c r="R725">
        <v>-5.88221076165341E-2</v>
      </c>
      <c r="S725" t="s">
        <v>2599</v>
      </c>
      <c r="T725" t="s">
        <v>3746</v>
      </c>
      <c r="U725" t="s">
        <v>3746</v>
      </c>
      <c r="V725" t="s">
        <v>3746</v>
      </c>
      <c r="W725" t="s">
        <v>4463</v>
      </c>
      <c r="X725">
        <v>3</v>
      </c>
      <c r="Y725" t="s">
        <v>6318</v>
      </c>
      <c r="Z725" t="s">
        <v>8113</v>
      </c>
      <c r="AA725">
        <v>0.99933486505751878</v>
      </c>
      <c r="AB725" t="str">
        <f>HYPERLINK("Melting_Curves/meltCurve_O95834_2_EML2.pdf", "Melting_Curves/meltCurve_O95834_2_EML2.pdf")</f>
        <v>Melting_Curves/meltCurve_O95834_2_EML2.pdf</v>
      </c>
    </row>
    <row r="726" spans="1:28" x14ac:dyDescent="0.25">
      <c r="A726" t="s">
        <v>730</v>
      </c>
      <c r="B726">
        <v>1</v>
      </c>
      <c r="C726">
        <v>1.07806654853318</v>
      </c>
      <c r="D726">
        <v>1.6868478046859601</v>
      </c>
      <c r="E726">
        <v>2.4189801141957101</v>
      </c>
      <c r="F726">
        <v>2.0530616263043902</v>
      </c>
      <c r="G726">
        <v>2.9171096672573298</v>
      </c>
      <c r="H726">
        <v>1.5148651309312899</v>
      </c>
      <c r="I726">
        <v>2.9007678676904902</v>
      </c>
      <c r="J726">
        <v>2.77377436503249</v>
      </c>
      <c r="K726">
        <v>2.5441031699153398</v>
      </c>
      <c r="L726">
        <v>10797.3843672204</v>
      </c>
      <c r="M726">
        <v>250</v>
      </c>
      <c r="O726">
        <v>43.186773668618301</v>
      </c>
      <c r="P726">
        <v>0.72360117261856505</v>
      </c>
      <c r="Q726">
        <v>1.5</v>
      </c>
      <c r="R726">
        <v>-0.62902599167389095</v>
      </c>
      <c r="S726" t="s">
        <v>2600</v>
      </c>
      <c r="T726" t="s">
        <v>3746</v>
      </c>
      <c r="U726" t="s">
        <v>3746</v>
      </c>
      <c r="V726" t="s">
        <v>3746</v>
      </c>
      <c r="W726" t="s">
        <v>4464</v>
      </c>
      <c r="X726">
        <v>6</v>
      </c>
      <c r="Y726" t="s">
        <v>6319</v>
      </c>
      <c r="Z726" t="s">
        <v>8114</v>
      </c>
      <c r="AA726">
        <v>1.446803143696872</v>
      </c>
      <c r="AB726" t="str">
        <f>HYPERLINK("Melting_Curves/meltCurve_O95865_DDAH2.pdf", "Melting_Curves/meltCurve_O95865_DDAH2.pdf")</f>
        <v>Melting_Curves/meltCurve_O95865_DDAH2.pdf</v>
      </c>
    </row>
    <row r="727" spans="1:28" x14ac:dyDescent="0.25">
      <c r="A727" t="s">
        <v>731</v>
      </c>
      <c r="B727">
        <v>1</v>
      </c>
      <c r="C727">
        <v>1.58547507788162</v>
      </c>
      <c r="D727">
        <v>1.9300363447559701</v>
      </c>
      <c r="E727">
        <v>2.5198598130841101</v>
      </c>
      <c r="F727">
        <v>1.5478971962616801</v>
      </c>
      <c r="G727">
        <v>1.6427829698857701</v>
      </c>
      <c r="H727">
        <v>0.84579439252336497</v>
      </c>
      <c r="I727">
        <v>1.8385254413291801</v>
      </c>
      <c r="J727">
        <v>1.3171079958463101</v>
      </c>
      <c r="K727">
        <v>1.5167445482866</v>
      </c>
      <c r="L727">
        <v>10255.365199509601</v>
      </c>
      <c r="M727">
        <v>250</v>
      </c>
      <c r="O727">
        <v>41.018833017706399</v>
      </c>
      <c r="P727">
        <v>0.76184512563081397</v>
      </c>
      <c r="Q727">
        <v>1.5</v>
      </c>
      <c r="R727">
        <v>9.6058608830679099E-2</v>
      </c>
      <c r="S727" t="s">
        <v>2601</v>
      </c>
      <c r="T727" t="s">
        <v>3746</v>
      </c>
      <c r="U727" t="s">
        <v>3746</v>
      </c>
      <c r="V727" t="s">
        <v>3746</v>
      </c>
      <c r="W727" t="s">
        <v>4465</v>
      </c>
      <c r="X727">
        <v>1</v>
      </c>
      <c r="Y727" t="s">
        <v>6320</v>
      </c>
      <c r="Z727" t="s">
        <v>8115</v>
      </c>
      <c r="AA727">
        <v>1.482935305285523</v>
      </c>
      <c r="AB727" t="str">
        <f>HYPERLINK("Melting_Curves/meltCurve_O95881_TXNDC12.pdf", "Melting_Curves/meltCurve_O95881_TXNDC12.pdf")</f>
        <v>Melting_Curves/meltCurve_O95881_TXNDC12.pdf</v>
      </c>
    </row>
    <row r="728" spans="1:28" x14ac:dyDescent="0.25">
      <c r="A728" t="s">
        <v>732</v>
      </c>
      <c r="B728">
        <v>1</v>
      </c>
      <c r="C728">
        <v>1.1557470387283799</v>
      </c>
      <c r="D728">
        <v>1.71395701020157</v>
      </c>
      <c r="E728">
        <v>2.9394362724956902</v>
      </c>
      <c r="F728">
        <v>2.1516030193817999</v>
      </c>
      <c r="G728">
        <v>1.87572637732881</v>
      </c>
      <c r="H728">
        <v>1.3215078125917099</v>
      </c>
      <c r="I728">
        <v>1.7874458518718499</v>
      </c>
      <c r="J728">
        <v>2.1415071082258201</v>
      </c>
      <c r="K728">
        <v>2.0453611636124598</v>
      </c>
      <c r="L728">
        <v>10759.025832924201</v>
      </c>
      <c r="M728">
        <v>250</v>
      </c>
      <c r="O728">
        <v>43.033340019314501</v>
      </c>
      <c r="P728">
        <v>0.72618098561753197</v>
      </c>
      <c r="Q728">
        <v>1.5</v>
      </c>
      <c r="R728">
        <v>-0.21166032295418499</v>
      </c>
      <c r="S728" t="s">
        <v>2602</v>
      </c>
      <c r="T728" t="s">
        <v>3746</v>
      </c>
      <c r="U728" t="s">
        <v>3746</v>
      </c>
      <c r="V728" t="s">
        <v>3746</v>
      </c>
      <c r="W728" t="s">
        <v>4466</v>
      </c>
      <c r="X728">
        <v>7</v>
      </c>
      <c r="Y728" t="s">
        <v>6321</v>
      </c>
      <c r="Z728" t="s">
        <v>8116</v>
      </c>
      <c r="AA728">
        <v>1.44936051394515</v>
      </c>
      <c r="AB728" t="str">
        <f>HYPERLINK("Melting_Curves/meltCurve_O95965_ITGBL1.pdf", "Melting_Curves/meltCurve_O95965_ITGBL1.pdf")</f>
        <v>Melting_Curves/meltCurve_O95965_ITGBL1.pdf</v>
      </c>
    </row>
    <row r="729" spans="1:28" x14ac:dyDescent="0.25">
      <c r="A729" t="s">
        <v>733</v>
      </c>
      <c r="B729">
        <v>1</v>
      </c>
      <c r="C729">
        <v>1.1037936718714201</v>
      </c>
      <c r="D729">
        <v>1.30088374009799</v>
      </c>
      <c r="E729">
        <v>1.4959476166491099</v>
      </c>
      <c r="F729">
        <v>1.2020925866569001</v>
      </c>
      <c r="G729">
        <v>1.29493108658821</v>
      </c>
      <c r="H729">
        <v>0.66227849260497296</v>
      </c>
      <c r="I729">
        <v>1.08814506158707</v>
      </c>
      <c r="J729">
        <v>1.08906085443473</v>
      </c>
      <c r="K729">
        <v>1.0341476258070399</v>
      </c>
      <c r="L729">
        <v>1.0000000000000001E-5</v>
      </c>
      <c r="M729">
        <v>1.0000000000000001E-5</v>
      </c>
      <c r="Q729">
        <v>1.25425489717421</v>
      </c>
      <c r="R729">
        <v>-4.75966266400007E-9</v>
      </c>
      <c r="S729" t="s">
        <v>2603</v>
      </c>
      <c r="T729" t="s">
        <v>3746</v>
      </c>
      <c r="U729" t="s">
        <v>3746</v>
      </c>
      <c r="V729" t="s">
        <v>3746</v>
      </c>
      <c r="W729" t="s">
        <v>4467</v>
      </c>
      <c r="X729">
        <v>2</v>
      </c>
      <c r="Y729" t="s">
        <v>6322</v>
      </c>
      <c r="Z729" t="s">
        <v>8117</v>
      </c>
      <c r="AA729">
        <v>1.1271280723672601</v>
      </c>
      <c r="AB729" t="str">
        <f>HYPERLINK("Melting_Curves/meltCurve_O95969_SCGB1D2.pdf", "Melting_Curves/meltCurve_O95969_SCGB1D2.pdf")</f>
        <v>Melting_Curves/meltCurve_O95969_SCGB1D2.pdf</v>
      </c>
    </row>
    <row r="730" spans="1:28" x14ac:dyDescent="0.25">
      <c r="A730" t="s">
        <v>734</v>
      </c>
      <c r="B730">
        <v>1</v>
      </c>
      <c r="C730">
        <v>1.1352451258754499</v>
      </c>
      <c r="D730">
        <v>1.34677266704524</v>
      </c>
      <c r="E730">
        <v>1.56814310051107</v>
      </c>
      <c r="F730">
        <v>1.0753359833428</v>
      </c>
      <c r="G730">
        <v>1.0966307022525099</v>
      </c>
      <c r="H730">
        <v>0.72995457126632601</v>
      </c>
      <c r="I730">
        <v>1.0053946621237899</v>
      </c>
      <c r="J730">
        <v>1.0618966496308899</v>
      </c>
      <c r="K730">
        <v>0.96772667045239402</v>
      </c>
      <c r="L730">
        <v>10251.2609589693</v>
      </c>
      <c r="M730">
        <v>250</v>
      </c>
      <c r="O730">
        <v>41.002420081531</v>
      </c>
      <c r="P730">
        <v>0.167182053348122</v>
      </c>
      <c r="Q730">
        <v>1.10967789958203</v>
      </c>
      <c r="R730">
        <v>2.3703546876315599E-2</v>
      </c>
      <c r="S730" t="s">
        <v>2604</v>
      </c>
      <c r="T730" t="s">
        <v>3746</v>
      </c>
      <c r="U730" t="s">
        <v>3746</v>
      </c>
      <c r="V730" t="s">
        <v>3746</v>
      </c>
      <c r="W730" t="s">
        <v>4468</v>
      </c>
      <c r="X730">
        <v>11</v>
      </c>
      <c r="Y730" t="s">
        <v>6323</v>
      </c>
      <c r="Z730" t="s">
        <v>8118</v>
      </c>
      <c r="AA730">
        <v>1.1059945787815419</v>
      </c>
      <c r="AB730" t="str">
        <f>HYPERLINK("Melting_Curves/meltCurve_O95980_RECK.pdf", "Melting_Curves/meltCurve_O95980_RECK.pdf")</f>
        <v>Melting_Curves/meltCurve_O95980_RECK.pdf</v>
      </c>
    </row>
    <row r="731" spans="1:28" x14ac:dyDescent="0.25">
      <c r="A731" t="s">
        <v>735</v>
      </c>
      <c r="B731">
        <v>1</v>
      </c>
      <c r="C731">
        <v>1.2561305346732701</v>
      </c>
      <c r="D731">
        <v>1.39444852538956</v>
      </c>
      <c r="E731">
        <v>1.9139458918775301</v>
      </c>
      <c r="F731">
        <v>1.26843067689855</v>
      </c>
      <c r="G731">
        <v>1.57588734507604</v>
      </c>
      <c r="H731">
        <v>0.54514480408858601</v>
      </c>
      <c r="I731">
        <v>1.31309879186659</v>
      </c>
      <c r="J731">
        <v>1.2474719847459499</v>
      </c>
      <c r="K731">
        <v>1.3348233124423701</v>
      </c>
      <c r="L731">
        <v>1.0000000000000001E-5</v>
      </c>
      <c r="M731">
        <v>0.28134696518378599</v>
      </c>
      <c r="Q731">
        <v>1.5</v>
      </c>
      <c r="R731">
        <v>-9.2353080738405404E-10</v>
      </c>
      <c r="S731" t="s">
        <v>2605</v>
      </c>
      <c r="T731" t="s">
        <v>3746</v>
      </c>
      <c r="U731" t="s">
        <v>3746</v>
      </c>
      <c r="V731" t="s">
        <v>3746</v>
      </c>
      <c r="W731" t="s">
        <v>4469</v>
      </c>
      <c r="X731">
        <v>1</v>
      </c>
      <c r="Y731" t="s">
        <v>6324</v>
      </c>
      <c r="Z731" t="s">
        <v>8119</v>
      </c>
      <c r="AA731">
        <v>1.284938186847016</v>
      </c>
      <c r="AB731" t="str">
        <f>HYPERLINK("Melting_Curves/meltCurve_O96007_MOCS2.pdf", "Melting_Curves/meltCurve_O96007_MOCS2.pdf")</f>
        <v>Melting_Curves/meltCurve_O96007_MOCS2.pdf</v>
      </c>
    </row>
    <row r="732" spans="1:28" x14ac:dyDescent="0.25">
      <c r="A732" t="s">
        <v>736</v>
      </c>
      <c r="B732">
        <v>1</v>
      </c>
      <c r="C732">
        <v>0.99201340958390805</v>
      </c>
      <c r="D732">
        <v>1.2679944784066299</v>
      </c>
      <c r="E732">
        <v>1.49102741076711</v>
      </c>
      <c r="F732">
        <v>1.1869453756655499</v>
      </c>
      <c r="G732">
        <v>1.3038848353382</v>
      </c>
      <c r="H732">
        <v>0.79839282192861405</v>
      </c>
      <c r="I732">
        <v>1.1008676789587899</v>
      </c>
      <c r="J732">
        <v>1.1901991717609901</v>
      </c>
      <c r="K732">
        <v>1.0064089923092101</v>
      </c>
      <c r="L732">
        <v>11044.514128986801</v>
      </c>
      <c r="M732">
        <v>250</v>
      </c>
      <c r="O732">
        <v>44.175229132812397</v>
      </c>
      <c r="P732">
        <v>0.23799386270485801</v>
      </c>
      <c r="Q732">
        <v>1.1682149355462701</v>
      </c>
      <c r="R732">
        <v>0.13610224873295099</v>
      </c>
      <c r="S732" t="s">
        <v>2606</v>
      </c>
      <c r="T732" t="s">
        <v>3746</v>
      </c>
      <c r="U732" t="s">
        <v>3746</v>
      </c>
      <c r="V732" t="s">
        <v>3746</v>
      </c>
      <c r="W732" t="s">
        <v>4470</v>
      </c>
      <c r="X732">
        <v>4</v>
      </c>
      <c r="Y732" t="s">
        <v>6325</v>
      </c>
      <c r="Z732" t="s">
        <v>8120</v>
      </c>
      <c r="AA732">
        <v>1.144774843287961</v>
      </c>
      <c r="AB732" t="str">
        <f>HYPERLINK("Melting_Curves/meltCurve_P00167_2_CYB5A.pdf", "Melting_Curves/meltCurve_P00167_2_CYB5A.pdf")</f>
        <v>Melting_Curves/meltCurve_P00167_2_CYB5A.pdf</v>
      </c>
    </row>
    <row r="733" spans="1:28" x14ac:dyDescent="0.25">
      <c r="A733" t="s">
        <v>737</v>
      </c>
      <c r="B733">
        <v>1</v>
      </c>
      <c r="C733">
        <v>1.0400272337191401</v>
      </c>
      <c r="D733">
        <v>2.5792865398926499</v>
      </c>
      <c r="E733">
        <v>4.1789508684706398</v>
      </c>
      <c r="F733">
        <v>3.5959592760897401</v>
      </c>
      <c r="G733">
        <v>3.6230346596576801</v>
      </c>
      <c r="H733">
        <v>2.59955349367449</v>
      </c>
      <c r="I733">
        <v>3.5438668714473498</v>
      </c>
      <c r="J733">
        <v>3.8312459426508498</v>
      </c>
      <c r="K733">
        <v>3.5399084820368301</v>
      </c>
      <c r="L733">
        <v>1193.16056959261</v>
      </c>
      <c r="M733">
        <v>46.167930393339901</v>
      </c>
      <c r="Q733">
        <v>1.5</v>
      </c>
      <c r="R733">
        <v>-1.82543044767146</v>
      </c>
      <c r="S733" t="s">
        <v>2607</v>
      </c>
      <c r="T733" t="s">
        <v>3746</v>
      </c>
      <c r="U733" t="s">
        <v>3746</v>
      </c>
      <c r="V733" t="s">
        <v>3746</v>
      </c>
      <c r="W733" t="s">
        <v>4471</v>
      </c>
      <c r="X733">
        <v>11</v>
      </c>
      <c r="Y733" t="s">
        <v>6326</v>
      </c>
      <c r="Z733" t="s">
        <v>8121</v>
      </c>
      <c r="AA733">
        <v>1.499999998073682</v>
      </c>
      <c r="AB733" t="str">
        <f>HYPERLINK("Melting_Curves/meltCurve_P00338_LDHA.pdf", "Melting_Curves/meltCurve_P00338_LDHA.pdf")</f>
        <v>Melting_Curves/meltCurve_P00338_LDHA.pdf</v>
      </c>
    </row>
    <row r="734" spans="1:28" x14ac:dyDescent="0.25">
      <c r="A734" t="s">
        <v>738</v>
      </c>
      <c r="B734">
        <v>1</v>
      </c>
      <c r="C734">
        <v>1.05214154663742</v>
      </c>
      <c r="D734">
        <v>2.1374343617537299</v>
      </c>
      <c r="E734">
        <v>3.7440688331681402</v>
      </c>
      <c r="F734">
        <v>2.7713574727429902</v>
      </c>
      <c r="G734">
        <v>2.8126911153756899</v>
      </c>
      <c r="H734">
        <v>2.1724414264324401</v>
      </c>
      <c r="I734">
        <v>2.9089605432421601</v>
      </c>
      <c r="J734">
        <v>3.2267656424639899</v>
      </c>
      <c r="K734">
        <v>2.8052046647968099</v>
      </c>
      <c r="L734">
        <v>10817.255008251001</v>
      </c>
      <c r="M734">
        <v>250</v>
      </c>
      <c r="O734">
        <v>43.266250448594803</v>
      </c>
      <c r="P734">
        <v>0.72227196117185299</v>
      </c>
      <c r="Q734">
        <v>1.5</v>
      </c>
      <c r="R734">
        <v>-1.2466444202753799</v>
      </c>
      <c r="S734" t="s">
        <v>2608</v>
      </c>
      <c r="T734" t="s">
        <v>3746</v>
      </c>
      <c r="U734" t="s">
        <v>3746</v>
      </c>
      <c r="V734" t="s">
        <v>3746</v>
      </c>
      <c r="W734" t="s">
        <v>4472</v>
      </c>
      <c r="X734">
        <v>13</v>
      </c>
      <c r="Y734" t="s">
        <v>6327</v>
      </c>
      <c r="Z734" t="s">
        <v>8122</v>
      </c>
      <c r="AA734">
        <v>1.4454783645516189</v>
      </c>
      <c r="AB734" t="str">
        <f>HYPERLINK("Melting_Curves/meltCurve_P00352_ALDH1A1.pdf", "Melting_Curves/meltCurve_P00352_ALDH1A1.pdf")</f>
        <v>Melting_Curves/meltCurve_P00352_ALDH1A1.pdf</v>
      </c>
    </row>
    <row r="735" spans="1:28" x14ac:dyDescent="0.25">
      <c r="A735" t="s">
        <v>739</v>
      </c>
      <c r="B735">
        <v>1</v>
      </c>
      <c r="C735">
        <v>1.01136363636364</v>
      </c>
      <c r="D735">
        <v>1.5495028409090901</v>
      </c>
      <c r="E735">
        <v>1.9189630681818199</v>
      </c>
      <c r="F735">
        <v>1.5022017045454501</v>
      </c>
      <c r="G735">
        <v>1.59460227272727</v>
      </c>
      <c r="H735">
        <v>1.0681818181818199</v>
      </c>
      <c r="I735">
        <v>1.51903409090909</v>
      </c>
      <c r="J735">
        <v>1.6659090909090899</v>
      </c>
      <c r="K735">
        <v>1.23863636363636</v>
      </c>
      <c r="L735">
        <v>10886.342576863301</v>
      </c>
      <c r="M735">
        <v>250</v>
      </c>
      <c r="O735">
        <v>43.542585030374802</v>
      </c>
      <c r="P735">
        <v>0.71768823496564405</v>
      </c>
      <c r="Q735">
        <v>1.5</v>
      </c>
      <c r="R735">
        <v>0.46120569216888202</v>
      </c>
      <c r="S735" t="s">
        <v>2609</v>
      </c>
      <c r="T735" t="s">
        <v>3746</v>
      </c>
      <c r="U735" t="s">
        <v>3746</v>
      </c>
      <c r="V735" t="s">
        <v>3746</v>
      </c>
      <c r="W735" t="s">
        <v>4473</v>
      </c>
      <c r="X735">
        <v>1</v>
      </c>
      <c r="Y735" t="s">
        <v>6328</v>
      </c>
      <c r="Z735" t="s">
        <v>8123</v>
      </c>
      <c r="AA735">
        <v>1.4408722841516139</v>
      </c>
      <c r="AB735" t="str">
        <f>HYPERLINK("Melting_Curves/meltCurve_P00387_3_CYB5R3.pdf", "Melting_Curves/meltCurve_P00387_3_CYB5R3.pdf")</f>
        <v>Melting_Curves/meltCurve_P00387_3_CYB5R3.pdf</v>
      </c>
    </row>
    <row r="736" spans="1:28" x14ac:dyDescent="0.25">
      <c r="A736" t="s">
        <v>740</v>
      </c>
      <c r="B736">
        <v>1</v>
      </c>
      <c r="C736">
        <v>0.85072642674010102</v>
      </c>
      <c r="D736">
        <v>1.0702687304149701</v>
      </c>
      <c r="E736">
        <v>1.03295033709999</v>
      </c>
      <c r="F736">
        <v>0.620985661380686</v>
      </c>
      <c r="G736">
        <v>0.90889754059443595</v>
      </c>
      <c r="H736">
        <v>0.27005032760421599</v>
      </c>
      <c r="I736">
        <v>0.69133985376507501</v>
      </c>
      <c r="J736">
        <v>0.653252302725287</v>
      </c>
      <c r="K736">
        <v>0.65839901243946397</v>
      </c>
      <c r="L736">
        <v>12889.3071684846</v>
      </c>
      <c r="M736">
        <v>250</v>
      </c>
      <c r="O736">
        <v>51.553935406372602</v>
      </c>
      <c r="P736">
        <v>-0.44400353739915899</v>
      </c>
      <c r="Q736">
        <v>0.63375796835576104</v>
      </c>
      <c r="R736">
        <v>0.55585689280260098</v>
      </c>
      <c r="S736" t="s">
        <v>2610</v>
      </c>
      <c r="T736" t="s">
        <v>3746</v>
      </c>
      <c r="U736" t="s">
        <v>3746</v>
      </c>
      <c r="V736" t="s">
        <v>3746</v>
      </c>
      <c r="W736" t="s">
        <v>4474</v>
      </c>
      <c r="X736">
        <v>7</v>
      </c>
      <c r="Y736" t="s">
        <v>6329</v>
      </c>
      <c r="Z736" t="s">
        <v>8124</v>
      </c>
      <c r="AA736">
        <v>0.7748825370403255</v>
      </c>
      <c r="AB736" t="str">
        <f>HYPERLINK("Melting_Curves/meltCurve_P00441_SOD1.pdf", "Melting_Curves/meltCurve_P00441_SOD1.pdf")</f>
        <v>Melting_Curves/meltCurve_P00441_SOD1.pdf</v>
      </c>
    </row>
    <row r="737" spans="1:28" x14ac:dyDescent="0.25">
      <c r="A737" t="s">
        <v>741</v>
      </c>
      <c r="B737">
        <v>1</v>
      </c>
      <c r="C737">
        <v>0.94875049871241501</v>
      </c>
      <c r="D737">
        <v>1.2546153567153899</v>
      </c>
      <c r="E737">
        <v>1.4788727285916401</v>
      </c>
      <c r="F737">
        <v>1.2319103405752401</v>
      </c>
      <c r="G737">
        <v>1.1912516774872099</v>
      </c>
      <c r="H737">
        <v>0.64361104058612295</v>
      </c>
      <c r="I737">
        <v>0.958724747016793</v>
      </c>
      <c r="J737">
        <v>1.08403757571361</v>
      </c>
      <c r="K737">
        <v>0.93126836168437899</v>
      </c>
      <c r="L737">
        <v>11075.531714983301</v>
      </c>
      <c r="M737">
        <v>250</v>
      </c>
      <c r="O737">
        <v>44.299302889948898</v>
      </c>
      <c r="P737">
        <v>0.13622029515356601</v>
      </c>
      <c r="Q737">
        <v>1.0965514016848801</v>
      </c>
      <c r="R737">
        <v>4.7660302485443701E-2</v>
      </c>
      <c r="S737" t="s">
        <v>2611</v>
      </c>
      <c r="T737" t="s">
        <v>3746</v>
      </c>
      <c r="U737" t="s">
        <v>3746</v>
      </c>
      <c r="V737" t="s">
        <v>3746</v>
      </c>
      <c r="W737" t="s">
        <v>4003</v>
      </c>
      <c r="X737">
        <v>32</v>
      </c>
      <c r="Y737" t="s">
        <v>5860</v>
      </c>
      <c r="Z737" t="s">
        <v>8125</v>
      </c>
      <c r="AA737">
        <v>1.0826980155724171</v>
      </c>
      <c r="AB737" t="str">
        <f>HYPERLINK("Melting_Curves/meltCurve_P00450_CP.pdf", "Melting_Curves/meltCurve_P00450_CP.pdf")</f>
        <v>Melting_Curves/meltCurve_P00450_CP.pdf</v>
      </c>
    </row>
    <row r="738" spans="1:28" x14ac:dyDescent="0.25">
      <c r="A738" t="s">
        <v>742</v>
      </c>
      <c r="B738">
        <v>1</v>
      </c>
      <c r="C738">
        <v>1.15150611392783</v>
      </c>
      <c r="D738">
        <v>1.77065314643603</v>
      </c>
      <c r="E738">
        <v>2.1154935878317902</v>
      </c>
      <c r="F738">
        <v>1.5525648672830299</v>
      </c>
      <c r="G738">
        <v>1.7313599761407701</v>
      </c>
      <c r="H738">
        <v>0.84603340292275597</v>
      </c>
      <c r="I738">
        <v>1.5250521920668101</v>
      </c>
      <c r="J738">
        <v>1.5020131225768001</v>
      </c>
      <c r="K738">
        <v>1.4172382940650201</v>
      </c>
      <c r="L738">
        <v>10760.735421994799</v>
      </c>
      <c r="M738">
        <v>250</v>
      </c>
      <c r="O738">
        <v>43.040205473391303</v>
      </c>
      <c r="P738">
        <v>0.72606561364170397</v>
      </c>
      <c r="Q738">
        <v>1.5</v>
      </c>
      <c r="R738">
        <v>0.27416142472835597</v>
      </c>
      <c r="S738" t="s">
        <v>2612</v>
      </c>
      <c r="T738" t="s">
        <v>3746</v>
      </c>
      <c r="U738" t="s">
        <v>3746</v>
      </c>
      <c r="V738" t="s">
        <v>3746</v>
      </c>
      <c r="W738" t="s">
        <v>4475</v>
      </c>
      <c r="X738">
        <v>9</v>
      </c>
      <c r="Y738" t="s">
        <v>6330</v>
      </c>
      <c r="Z738" t="s">
        <v>8126</v>
      </c>
      <c r="AA738">
        <v>1.449246535340432</v>
      </c>
      <c r="AB738" t="str">
        <f>HYPERLINK("Melting_Curves/meltCurve_P00491_PNP.pdf", "Melting_Curves/meltCurve_P00491_PNP.pdf")</f>
        <v>Melting_Curves/meltCurve_P00491_PNP.pdf</v>
      </c>
    </row>
    <row r="739" spans="1:28" x14ac:dyDescent="0.25">
      <c r="A739" t="s">
        <v>743</v>
      </c>
      <c r="B739">
        <v>1</v>
      </c>
      <c r="C739">
        <v>0.97838893513478897</v>
      </c>
      <c r="D739">
        <v>1.4626368700774799</v>
      </c>
      <c r="E739">
        <v>1.67493756803483</v>
      </c>
      <c r="F739">
        <v>1.2011269770122299</v>
      </c>
      <c r="G739">
        <v>1.4268425433822101</v>
      </c>
      <c r="H739">
        <v>0.77393225331369697</v>
      </c>
      <c r="I739">
        <v>1.26884164692322</v>
      </c>
      <c r="J739">
        <v>1.29096497406672</v>
      </c>
      <c r="K739">
        <v>1.1454504706409701</v>
      </c>
      <c r="L739">
        <v>11053.417386725599</v>
      </c>
      <c r="M739">
        <v>250</v>
      </c>
      <c r="O739">
        <v>44.210840343665303</v>
      </c>
      <c r="P739">
        <v>0.396667762986257</v>
      </c>
      <c r="Q739">
        <v>1.2805922407610599</v>
      </c>
      <c r="R739">
        <v>0.21606358600358</v>
      </c>
      <c r="S739" t="s">
        <v>2613</v>
      </c>
      <c r="T739" t="s">
        <v>3746</v>
      </c>
      <c r="U739" t="s">
        <v>3746</v>
      </c>
      <c r="V739" t="s">
        <v>3746</v>
      </c>
      <c r="W739" t="s">
        <v>4476</v>
      </c>
      <c r="X739">
        <v>3</v>
      </c>
      <c r="Y739" t="s">
        <v>6331</v>
      </c>
      <c r="Z739" t="s">
        <v>8127</v>
      </c>
      <c r="AA739">
        <v>1.24115970240227</v>
      </c>
      <c r="AB739" t="str">
        <f>HYPERLINK("Melting_Curves/meltCurve_P00492_HPRT1.pdf", "Melting_Curves/meltCurve_P00492_HPRT1.pdf")</f>
        <v>Melting_Curves/meltCurve_P00492_HPRT1.pdf</v>
      </c>
    </row>
    <row r="740" spans="1:28" x14ac:dyDescent="0.25">
      <c r="A740" t="s">
        <v>744</v>
      </c>
      <c r="B740">
        <v>1</v>
      </c>
      <c r="C740">
        <v>0.99563206577595098</v>
      </c>
      <c r="D740">
        <v>1.6780942592864501</v>
      </c>
      <c r="E740">
        <v>2.2451548964909702</v>
      </c>
      <c r="F740">
        <v>1.47302158273381</v>
      </c>
      <c r="G740">
        <v>1.71751578329173</v>
      </c>
      <c r="H740">
        <v>1.2943767435031599</v>
      </c>
      <c r="I740">
        <v>2.2559095580678301</v>
      </c>
      <c r="J740">
        <v>2.4854279841432998</v>
      </c>
      <c r="K740">
        <v>2.2959550726765499</v>
      </c>
      <c r="L740">
        <v>11020.604865425799</v>
      </c>
      <c r="M740">
        <v>250</v>
      </c>
      <c r="O740">
        <v>44.079599024891799</v>
      </c>
      <c r="P740">
        <v>0.70894475255412104</v>
      </c>
      <c r="Q740">
        <v>1.5</v>
      </c>
      <c r="R740">
        <v>-3.3142513649156498E-2</v>
      </c>
      <c r="S740" t="s">
        <v>2614</v>
      </c>
      <c r="T740" t="s">
        <v>3746</v>
      </c>
      <c r="U740" t="s">
        <v>3746</v>
      </c>
      <c r="V740" t="s">
        <v>3746</v>
      </c>
      <c r="W740" t="s">
        <v>4477</v>
      </c>
      <c r="X740">
        <v>18</v>
      </c>
      <c r="Y740" t="s">
        <v>6332</v>
      </c>
      <c r="Z740" t="s">
        <v>8128</v>
      </c>
      <c r="AA740">
        <v>1.4319209936582089</v>
      </c>
      <c r="AB740" t="str">
        <f>HYPERLINK("Melting_Curves/meltCurve_P00558_PGK1.pdf", "Melting_Curves/meltCurve_P00558_PGK1.pdf")</f>
        <v>Melting_Curves/meltCurve_P00558_PGK1.pdf</v>
      </c>
    </row>
    <row r="741" spans="1:28" x14ac:dyDescent="0.25">
      <c r="A741" t="s">
        <v>745</v>
      </c>
      <c r="B741">
        <v>1</v>
      </c>
      <c r="C741">
        <v>0.70685525265199001</v>
      </c>
      <c r="D741">
        <v>1.1027391679838401</v>
      </c>
      <c r="E741">
        <v>1.3157294399452499</v>
      </c>
      <c r="F741">
        <v>0.56605126366732395</v>
      </c>
      <c r="G741">
        <v>0.95153905066075695</v>
      </c>
      <c r="H741">
        <v>0.58257426387915701</v>
      </c>
      <c r="I741">
        <v>0.82039792077433205</v>
      </c>
      <c r="J741">
        <v>0.86587690853688304</v>
      </c>
      <c r="K741">
        <v>0.77120370219491896</v>
      </c>
      <c r="L741">
        <v>4775.9378719904198</v>
      </c>
      <c r="M741">
        <v>92.542080260192407</v>
      </c>
      <c r="O741">
        <v>51.584196894383702</v>
      </c>
      <c r="P741">
        <v>-0.106768331807905</v>
      </c>
      <c r="Q741">
        <v>0.76194361479315897</v>
      </c>
      <c r="R741">
        <v>0.32213594112893701</v>
      </c>
      <c r="S741" t="s">
        <v>2615</v>
      </c>
      <c r="T741" t="s">
        <v>3746</v>
      </c>
      <c r="U741" t="s">
        <v>3746</v>
      </c>
      <c r="V741" t="s">
        <v>3746</v>
      </c>
      <c r="W741" t="s">
        <v>4478</v>
      </c>
      <c r="X741">
        <v>12</v>
      </c>
      <c r="Y741" t="s">
        <v>6333</v>
      </c>
      <c r="Z741" t="s">
        <v>8129</v>
      </c>
      <c r="AA741">
        <v>0.85421538408361219</v>
      </c>
      <c r="AB741" t="str">
        <f>HYPERLINK("Melting_Curves/meltCurve_P00709_LALBA.pdf", "Melting_Curves/meltCurve_P00709_LALBA.pdf")</f>
        <v>Melting_Curves/meltCurve_P00709_LALBA.pdf</v>
      </c>
    </row>
    <row r="742" spans="1:28" x14ac:dyDescent="0.25">
      <c r="A742" t="s">
        <v>746</v>
      </c>
      <c r="B742">
        <v>1</v>
      </c>
      <c r="C742">
        <v>0.98786696576611699</v>
      </c>
      <c r="D742">
        <v>1.2916219643031299</v>
      </c>
      <c r="E742">
        <v>1.5106993075197499</v>
      </c>
      <c r="F742">
        <v>1.20273090802692</v>
      </c>
      <c r="G742">
        <v>1.3340485711499099</v>
      </c>
      <c r="H742">
        <v>0.73102506583438998</v>
      </c>
      <c r="I742">
        <v>1.20132644104165</v>
      </c>
      <c r="J742">
        <v>1.1794011508826701</v>
      </c>
      <c r="K742">
        <v>1.0494684482590499</v>
      </c>
      <c r="L742">
        <v>11052.9720141004</v>
      </c>
      <c r="M742">
        <v>250</v>
      </c>
      <c r="O742">
        <v>44.209059230515201</v>
      </c>
      <c r="P742">
        <v>0.26513281212187201</v>
      </c>
      <c r="Q742">
        <v>1.1875403530274999</v>
      </c>
      <c r="R742">
        <v>0.14101910436835399</v>
      </c>
      <c r="S742" t="s">
        <v>2616</v>
      </c>
      <c r="T742" t="s">
        <v>3746</v>
      </c>
      <c r="U742" t="s">
        <v>3746</v>
      </c>
      <c r="V742" t="s">
        <v>3746</v>
      </c>
      <c r="W742" t="s">
        <v>4479</v>
      </c>
      <c r="X742">
        <v>22</v>
      </c>
      <c r="Y742" t="s">
        <v>6334</v>
      </c>
      <c r="Z742" t="s">
        <v>8130</v>
      </c>
      <c r="AA742">
        <v>1.161195835784111</v>
      </c>
      <c r="AB742" t="str">
        <f>HYPERLINK("Melting_Curves/meltCurve_P00734_F2.pdf", "Melting_Curves/meltCurve_P00734_F2.pdf")</f>
        <v>Melting_Curves/meltCurve_P00734_F2.pdf</v>
      </c>
    </row>
    <row r="743" spans="1:28" x14ac:dyDescent="0.25">
      <c r="A743" t="s">
        <v>747</v>
      </c>
      <c r="B743">
        <v>1</v>
      </c>
      <c r="C743">
        <v>1.07553381619791</v>
      </c>
      <c r="D743">
        <v>1.68573041106199</v>
      </c>
      <c r="E743">
        <v>2.3697676606151798</v>
      </c>
      <c r="F743">
        <v>1.44765309001975</v>
      </c>
      <c r="G743">
        <v>1.59119556015427</v>
      </c>
      <c r="H743">
        <v>1.4976954190574701</v>
      </c>
      <c r="I743">
        <v>1.9450663154924299</v>
      </c>
      <c r="J743">
        <v>2.0195654218794101</v>
      </c>
      <c r="K743">
        <v>1.94901702567962</v>
      </c>
      <c r="L743">
        <v>10799.0559983235</v>
      </c>
      <c r="M743">
        <v>250</v>
      </c>
      <c r="O743">
        <v>43.193459746962297</v>
      </c>
      <c r="P743">
        <v>0.72348916336270996</v>
      </c>
      <c r="Q743">
        <v>1.5</v>
      </c>
      <c r="R743">
        <v>0.10905633213816</v>
      </c>
      <c r="S743" t="s">
        <v>2617</v>
      </c>
      <c r="T743" t="s">
        <v>3746</v>
      </c>
      <c r="U743" t="s">
        <v>3746</v>
      </c>
      <c r="V743" t="s">
        <v>3746</v>
      </c>
      <c r="W743" t="s">
        <v>4480</v>
      </c>
      <c r="X743">
        <v>13</v>
      </c>
      <c r="Y743" t="s">
        <v>6335</v>
      </c>
      <c r="Z743" t="s">
        <v>8131</v>
      </c>
      <c r="AA743">
        <v>1.44669169575618</v>
      </c>
      <c r="AB743" t="str">
        <f>HYPERLINK("Melting_Curves/meltCurve_P00736_C1R.pdf", "Melting_Curves/meltCurve_P00736_C1R.pdf")</f>
        <v>Melting_Curves/meltCurve_P00736_C1R.pdf</v>
      </c>
    </row>
    <row r="744" spans="1:28" x14ac:dyDescent="0.25">
      <c r="A744" t="s">
        <v>748</v>
      </c>
      <c r="B744">
        <v>1</v>
      </c>
      <c r="C744">
        <v>1.0039759994216699</v>
      </c>
      <c r="D744">
        <v>1.5350610858092999</v>
      </c>
      <c r="E744">
        <v>2.0451818116099201</v>
      </c>
      <c r="F744">
        <v>1.36973180076628</v>
      </c>
      <c r="G744">
        <v>1.5091447986698501</v>
      </c>
      <c r="H744">
        <v>1.00921708956842</v>
      </c>
      <c r="I744">
        <v>1.3502855490493699</v>
      </c>
      <c r="J744">
        <v>1.3967685968336601</v>
      </c>
      <c r="K744">
        <v>1.30701944625172</v>
      </c>
      <c r="L744">
        <v>10926.1438683582</v>
      </c>
      <c r="M744">
        <v>250</v>
      </c>
      <c r="O744">
        <v>43.701778707029099</v>
      </c>
      <c r="P744">
        <v>0.62969604522465294</v>
      </c>
      <c r="Q744">
        <v>1.4403013946533401</v>
      </c>
      <c r="R744">
        <v>0.33945072170155199</v>
      </c>
      <c r="S744" t="s">
        <v>2618</v>
      </c>
      <c r="T744" t="s">
        <v>3746</v>
      </c>
      <c r="U744" t="s">
        <v>3746</v>
      </c>
      <c r="V744" t="s">
        <v>3746</v>
      </c>
      <c r="W744" t="s">
        <v>4481</v>
      </c>
      <c r="X744">
        <v>25</v>
      </c>
      <c r="Y744" t="s">
        <v>6336</v>
      </c>
      <c r="Z744" t="s">
        <v>8132</v>
      </c>
      <c r="AA744">
        <v>1.3858966315769949</v>
      </c>
      <c r="AB744" t="str">
        <f>HYPERLINK("Melting_Curves/meltCurve_P00738_HP.pdf", "Melting_Curves/meltCurve_P00738_HP.pdf")</f>
        <v>Melting_Curves/meltCurve_P00738_HP.pdf</v>
      </c>
    </row>
    <row r="745" spans="1:28" x14ac:dyDescent="0.25">
      <c r="A745" t="s">
        <v>749</v>
      </c>
      <c r="B745">
        <v>1</v>
      </c>
      <c r="C745">
        <v>0.90771074710347599</v>
      </c>
      <c r="D745">
        <v>1.5160207750699199</v>
      </c>
      <c r="E745">
        <v>1.8420295645225699</v>
      </c>
      <c r="F745">
        <v>1.1494206951657999</v>
      </c>
      <c r="G745">
        <v>1.79504594486616</v>
      </c>
      <c r="H745">
        <v>0.71308829404714302</v>
      </c>
      <c r="I745">
        <v>1.4331602077507</v>
      </c>
      <c r="J745">
        <v>1.1376747902516999</v>
      </c>
      <c r="K745">
        <v>1.1185777067519</v>
      </c>
      <c r="L745">
        <v>11085.9529160864</v>
      </c>
      <c r="M745">
        <v>250</v>
      </c>
      <c r="O745">
        <v>44.340972179923</v>
      </c>
      <c r="P745">
        <v>0.47660088081171698</v>
      </c>
      <c r="Q745">
        <v>1.3381271554966301</v>
      </c>
      <c r="R745">
        <v>0.18431908939916899</v>
      </c>
      <c r="S745" t="s">
        <v>2619</v>
      </c>
      <c r="T745" t="s">
        <v>3746</v>
      </c>
      <c r="U745" t="s">
        <v>3746</v>
      </c>
      <c r="V745" t="s">
        <v>3746</v>
      </c>
      <c r="W745" t="s">
        <v>4482</v>
      </c>
      <c r="X745">
        <v>16</v>
      </c>
      <c r="Y745" t="s">
        <v>6337</v>
      </c>
      <c r="Z745" t="s">
        <v>8133</v>
      </c>
      <c r="AA745">
        <v>1.289142152126062</v>
      </c>
      <c r="AB745" t="str">
        <f>HYPERLINK("Melting_Curves/meltCurve_P00739_HPR.pdf", "Melting_Curves/meltCurve_P00739_HPR.pdf")</f>
        <v>Melting_Curves/meltCurve_P00739_HPR.pdf</v>
      </c>
    </row>
    <row r="746" spans="1:28" x14ac:dyDescent="0.25">
      <c r="A746" t="s">
        <v>750</v>
      </c>
      <c r="B746">
        <v>1</v>
      </c>
      <c r="C746">
        <v>1.0606725663716801</v>
      </c>
      <c r="D746">
        <v>1.5751504424778799</v>
      </c>
      <c r="E746">
        <v>2.2363185840708</v>
      </c>
      <c r="F746">
        <v>1.5603539823008801</v>
      </c>
      <c r="G746">
        <v>1.7141946902654901</v>
      </c>
      <c r="H746">
        <v>1.1992920353982299</v>
      </c>
      <c r="I746">
        <v>1.7558230088495601</v>
      </c>
      <c r="J746">
        <v>1.82053097345133</v>
      </c>
      <c r="K746">
        <v>1.7641061946902701</v>
      </c>
      <c r="L746">
        <v>10809.9312602891</v>
      </c>
      <c r="M746">
        <v>250</v>
      </c>
      <c r="O746">
        <v>43.236958019332199</v>
      </c>
      <c r="P746">
        <v>0.72276130173330599</v>
      </c>
      <c r="Q746">
        <v>1.5</v>
      </c>
      <c r="R746">
        <v>0.29955546996586402</v>
      </c>
      <c r="S746" t="s">
        <v>2620</v>
      </c>
      <c r="T746" t="s">
        <v>3746</v>
      </c>
      <c r="U746" t="s">
        <v>3746</v>
      </c>
      <c r="V746" t="s">
        <v>3746</v>
      </c>
      <c r="W746" t="s">
        <v>4483</v>
      </c>
      <c r="X746">
        <v>4</v>
      </c>
      <c r="Y746" t="s">
        <v>6338</v>
      </c>
      <c r="Z746" t="s">
        <v>8134</v>
      </c>
      <c r="AA746">
        <v>1.4459666401212119</v>
      </c>
      <c r="AB746" t="str">
        <f>HYPERLINK("Melting_Curves/meltCurve_P00740_F9.pdf", "Melting_Curves/meltCurve_P00740_F9.pdf")</f>
        <v>Melting_Curves/meltCurve_P00740_F9.pdf</v>
      </c>
    </row>
    <row r="747" spans="1:28" x14ac:dyDescent="0.25">
      <c r="A747" t="s">
        <v>751</v>
      </c>
      <c r="B747">
        <v>1</v>
      </c>
      <c r="C747">
        <v>1.0190927555856499</v>
      </c>
      <c r="D747">
        <v>1.3668095990370901</v>
      </c>
      <c r="E747">
        <v>1.7245166629052899</v>
      </c>
      <c r="F747">
        <v>1.1534190927555901</v>
      </c>
      <c r="G747">
        <v>1.2959602798465399</v>
      </c>
      <c r="H747">
        <v>0.83935906116000902</v>
      </c>
      <c r="I747">
        <v>1.2055367486647099</v>
      </c>
      <c r="J747">
        <v>1.2138719626871299</v>
      </c>
      <c r="K747">
        <v>1.12940645452494</v>
      </c>
      <c r="L747">
        <v>10830.250969594301</v>
      </c>
      <c r="M747">
        <v>250</v>
      </c>
      <c r="O747">
        <v>43.318231947754597</v>
      </c>
      <c r="P747">
        <v>0.34787601716215899</v>
      </c>
      <c r="Q747">
        <v>1.2411099819093501</v>
      </c>
      <c r="R747">
        <v>0.16469215552823799</v>
      </c>
      <c r="S747" t="s">
        <v>2621</v>
      </c>
      <c r="T747" t="s">
        <v>3746</v>
      </c>
      <c r="U747" t="s">
        <v>3746</v>
      </c>
      <c r="V747" t="s">
        <v>3746</v>
      </c>
      <c r="W747" t="s">
        <v>4484</v>
      </c>
      <c r="X747">
        <v>34</v>
      </c>
      <c r="Y747" t="s">
        <v>6339</v>
      </c>
      <c r="Z747" t="s">
        <v>8135</v>
      </c>
      <c r="AA747">
        <v>1.2144007447059539</v>
      </c>
      <c r="AB747" t="str">
        <f>HYPERLINK("Melting_Curves/meltCurve_P00747_PLG.pdf", "Melting_Curves/meltCurve_P00747_PLG.pdf")</f>
        <v>Melting_Curves/meltCurve_P00747_PLG.pdf</v>
      </c>
    </row>
    <row r="748" spans="1:28" x14ac:dyDescent="0.25">
      <c r="A748" t="s">
        <v>752</v>
      </c>
      <c r="B748">
        <v>1</v>
      </c>
      <c r="C748">
        <v>1.0613074498091899</v>
      </c>
      <c r="D748">
        <v>1.90094574415132</v>
      </c>
      <c r="E748">
        <v>2.8057906089264999</v>
      </c>
      <c r="F748">
        <v>2.6802306288369002</v>
      </c>
      <c r="G748">
        <v>3.2699518831923</v>
      </c>
      <c r="H748">
        <v>1.9818317570930799</v>
      </c>
      <c r="I748">
        <v>2.9973867595818802</v>
      </c>
      <c r="J748">
        <v>3.13273602123776</v>
      </c>
      <c r="K748">
        <v>2.7248631159781</v>
      </c>
      <c r="L748">
        <v>10809.421987400299</v>
      </c>
      <c r="M748">
        <v>250</v>
      </c>
      <c r="O748">
        <v>43.234933911037203</v>
      </c>
      <c r="P748">
        <v>0.72279535275876095</v>
      </c>
      <c r="Q748">
        <v>1.5</v>
      </c>
      <c r="R748">
        <v>-1.1171119349669001</v>
      </c>
      <c r="S748" t="s">
        <v>2622</v>
      </c>
      <c r="T748" t="s">
        <v>3746</v>
      </c>
      <c r="U748" t="s">
        <v>3746</v>
      </c>
      <c r="V748" t="s">
        <v>3746</v>
      </c>
      <c r="W748" t="s">
        <v>4485</v>
      </c>
      <c r="X748">
        <v>8</v>
      </c>
      <c r="Y748" t="s">
        <v>6340</v>
      </c>
      <c r="Z748" t="s">
        <v>8136</v>
      </c>
      <c r="AA748">
        <v>1.446000593434613</v>
      </c>
      <c r="AB748" t="str">
        <f>HYPERLINK("Melting_Curves/meltCurve_P00748_F12.pdf", "Melting_Curves/meltCurve_P00748_F12.pdf")</f>
        <v>Melting_Curves/meltCurve_P00748_F12.pdf</v>
      </c>
    </row>
    <row r="749" spans="1:28" x14ac:dyDescent="0.25">
      <c r="A749" t="s">
        <v>753</v>
      </c>
      <c r="B749">
        <v>1</v>
      </c>
      <c r="C749">
        <v>1.0351556450363899</v>
      </c>
      <c r="D749">
        <v>1.4531516183986399</v>
      </c>
      <c r="E749">
        <v>1.8275514945020901</v>
      </c>
      <c r="F749">
        <v>1.68522533684374</v>
      </c>
      <c r="G749">
        <v>2.5461514635279499</v>
      </c>
      <c r="H749">
        <v>1.0967167415208301</v>
      </c>
      <c r="I749">
        <v>2.2213876413195002</v>
      </c>
      <c r="J749">
        <v>2.0023230602447</v>
      </c>
      <c r="K749">
        <v>1.8620876568065701</v>
      </c>
      <c r="L749">
        <v>3185.35182657429</v>
      </c>
      <c r="M749">
        <v>71.596999365355799</v>
      </c>
      <c r="O749">
        <v>44.455348237971997</v>
      </c>
      <c r="P749">
        <v>0.20131721541217301</v>
      </c>
      <c r="Q749">
        <v>1.5</v>
      </c>
      <c r="R749">
        <v>6.8349253672752602E-2</v>
      </c>
      <c r="S749" t="s">
        <v>2623</v>
      </c>
      <c r="T749" t="s">
        <v>3746</v>
      </c>
      <c r="U749" t="s">
        <v>3746</v>
      </c>
      <c r="V749" t="s">
        <v>3746</v>
      </c>
      <c r="W749" t="s">
        <v>4486</v>
      </c>
      <c r="X749">
        <v>6</v>
      </c>
      <c r="Y749" t="s">
        <v>6341</v>
      </c>
      <c r="Z749" t="s">
        <v>8137</v>
      </c>
      <c r="AA749">
        <v>1.4246865436986149</v>
      </c>
      <c r="AB749" t="str">
        <f>HYPERLINK("Melting_Curves/meltCurve_P00918_CA2.pdf", "Melting_Curves/meltCurve_P00918_CA2.pdf")</f>
        <v>Melting_Curves/meltCurve_P00918_CA2.pdf</v>
      </c>
    </row>
    <row r="750" spans="1:28" x14ac:dyDescent="0.25">
      <c r="A750" t="s">
        <v>754</v>
      </c>
      <c r="B750">
        <v>1</v>
      </c>
      <c r="C750">
        <v>1.01743583841639</v>
      </c>
      <c r="D750">
        <v>1.32869144895845</v>
      </c>
      <c r="E750">
        <v>1.5820865462078499</v>
      </c>
      <c r="F750">
        <v>1.4151513407756899</v>
      </c>
      <c r="G750">
        <v>1.6892047416273499</v>
      </c>
      <c r="H750">
        <v>1.17323627575095</v>
      </c>
      <c r="I750">
        <v>2.51007020370584</v>
      </c>
      <c r="J750">
        <v>2.2171135918978</v>
      </c>
      <c r="K750">
        <v>2.24320980550121</v>
      </c>
      <c r="L750">
        <v>3478.3050938279598</v>
      </c>
      <c r="M750">
        <v>76.275138458685703</v>
      </c>
      <c r="O750">
        <v>45.570758306869898</v>
      </c>
      <c r="P750">
        <v>0.20922172127400199</v>
      </c>
      <c r="Q750">
        <v>1.5</v>
      </c>
      <c r="R750">
        <v>0.14274305368023901</v>
      </c>
      <c r="S750" t="s">
        <v>2624</v>
      </c>
      <c r="T750" t="s">
        <v>3746</v>
      </c>
      <c r="U750" t="s">
        <v>3746</v>
      </c>
      <c r="V750" t="s">
        <v>3746</v>
      </c>
      <c r="W750" t="s">
        <v>4487</v>
      </c>
      <c r="X750">
        <v>2</v>
      </c>
      <c r="Y750" t="s">
        <v>6342</v>
      </c>
      <c r="Z750" t="s">
        <v>8138</v>
      </c>
      <c r="AA750">
        <v>1.4062009941333571</v>
      </c>
      <c r="AB750" t="str">
        <f>HYPERLINK("Melting_Curves/meltCurve_P00966_ASS1.pdf", "Melting_Curves/meltCurve_P00966_ASS1.pdf")</f>
        <v>Melting_Curves/meltCurve_P00966_ASS1.pdf</v>
      </c>
    </row>
    <row r="751" spans="1:28" x14ac:dyDescent="0.25">
      <c r="A751" t="s">
        <v>755</v>
      </c>
      <c r="B751">
        <v>1</v>
      </c>
      <c r="C751">
        <v>1.0201038039550601</v>
      </c>
      <c r="D751">
        <v>1.3857171013731</v>
      </c>
      <c r="E751">
        <v>1.5770317324748699</v>
      </c>
      <c r="F751">
        <v>1.1175349845608</v>
      </c>
      <c r="G751">
        <v>1.2291570856054099</v>
      </c>
      <c r="H751">
        <v>0.76493003087839195</v>
      </c>
      <c r="I751">
        <v>1.0434268444911601</v>
      </c>
      <c r="J751">
        <v>1.15064713225149</v>
      </c>
      <c r="K751">
        <v>1.05019381118192</v>
      </c>
      <c r="L751">
        <v>10809.6803250835</v>
      </c>
      <c r="M751">
        <v>250</v>
      </c>
      <c r="O751">
        <v>43.235954326999703</v>
      </c>
      <c r="P751">
        <v>0.23827077546502501</v>
      </c>
      <c r="Q751">
        <v>1.16482982958548</v>
      </c>
      <c r="R751">
        <v>8.5321488446271396E-2</v>
      </c>
      <c r="S751" t="s">
        <v>2625</v>
      </c>
      <c r="T751" t="s">
        <v>3746</v>
      </c>
      <c r="U751" t="s">
        <v>3746</v>
      </c>
      <c r="V751" t="s">
        <v>3746</v>
      </c>
      <c r="W751" t="s">
        <v>4488</v>
      </c>
      <c r="X751">
        <v>25</v>
      </c>
      <c r="Y751" t="s">
        <v>6343</v>
      </c>
      <c r="Z751" t="s">
        <v>8139</v>
      </c>
      <c r="AA751">
        <v>1.147022725755281</v>
      </c>
      <c r="AB751" t="str">
        <f>HYPERLINK("Melting_Curves/meltCurve_P01008_SERPINC1.pdf", "Melting_Curves/meltCurve_P01008_SERPINC1.pdf")</f>
        <v>Melting_Curves/meltCurve_P01008_SERPINC1.pdf</v>
      </c>
    </row>
    <row r="752" spans="1:28" x14ac:dyDescent="0.25">
      <c r="A752" t="s">
        <v>756</v>
      </c>
      <c r="B752">
        <v>1</v>
      </c>
      <c r="C752">
        <v>0.88350033400133599</v>
      </c>
      <c r="D752">
        <v>1.2733912268982399</v>
      </c>
      <c r="E752">
        <v>1.04589178356713</v>
      </c>
      <c r="F752">
        <v>0.61131151191271405</v>
      </c>
      <c r="G752">
        <v>0.91433979069249605</v>
      </c>
      <c r="H752">
        <v>0.29265197060788201</v>
      </c>
      <c r="I752">
        <v>0.62133155199287504</v>
      </c>
      <c r="J752">
        <v>0.52266755733689596</v>
      </c>
      <c r="K752">
        <v>0.474326430639056</v>
      </c>
      <c r="L752">
        <v>1092.5808357870201</v>
      </c>
      <c r="M752">
        <v>19.761555533269199</v>
      </c>
      <c r="N752">
        <v>65.941939047108903</v>
      </c>
      <c r="O752">
        <v>54.731376691721003</v>
      </c>
      <c r="P752">
        <v>-4.6987819133640099E-2</v>
      </c>
      <c r="Q752">
        <v>0.47947007490537402</v>
      </c>
      <c r="R752">
        <v>0.64315195836565797</v>
      </c>
      <c r="S752" t="s">
        <v>2626</v>
      </c>
      <c r="T752" t="s">
        <v>3746</v>
      </c>
      <c r="U752" t="s">
        <v>3746</v>
      </c>
      <c r="V752" t="s">
        <v>3746</v>
      </c>
      <c r="W752" t="s">
        <v>4489</v>
      </c>
      <c r="X752">
        <v>25</v>
      </c>
      <c r="Y752" t="s">
        <v>6344</v>
      </c>
      <c r="Z752" t="s">
        <v>8140</v>
      </c>
      <c r="AA752">
        <v>0.75173144951601978</v>
      </c>
      <c r="AB752" t="str">
        <f>HYPERLINK("Melting_Curves/meltCurve_P01009_SERPINA1.pdf", "Melting_Curves/meltCurve_P01009_SERPINA1.pdf")</f>
        <v>Melting_Curves/meltCurve_P01009_SERPINA1.pdf</v>
      </c>
    </row>
    <row r="753" spans="1:28" x14ac:dyDescent="0.25">
      <c r="A753" t="s">
        <v>757</v>
      </c>
      <c r="B753">
        <v>1</v>
      </c>
      <c r="C753">
        <v>1.00100921752002</v>
      </c>
      <c r="D753">
        <v>1.58797012716141</v>
      </c>
      <c r="E753">
        <v>2.79869474534078</v>
      </c>
      <c r="F753">
        <v>2.53071385319249</v>
      </c>
      <c r="G753">
        <v>3.0740092848011802</v>
      </c>
      <c r="H753">
        <v>1.49902442306398</v>
      </c>
      <c r="I753">
        <v>2.6376909103142001</v>
      </c>
      <c r="J753">
        <v>2.7431205005718899</v>
      </c>
      <c r="K753">
        <v>2.4340308147749399</v>
      </c>
      <c r="L753">
        <v>10978.333003399899</v>
      </c>
      <c r="M753">
        <v>250</v>
      </c>
      <c r="O753">
        <v>43.910521860076599</v>
      </c>
      <c r="P753">
        <v>0.71167453081579402</v>
      </c>
      <c r="Q753">
        <v>1.5</v>
      </c>
      <c r="R753">
        <v>-0.63599804049166198</v>
      </c>
      <c r="S753" t="s">
        <v>2627</v>
      </c>
      <c r="T753" t="s">
        <v>3746</v>
      </c>
      <c r="U753" t="s">
        <v>3746</v>
      </c>
      <c r="V753" t="s">
        <v>3746</v>
      </c>
      <c r="W753" t="s">
        <v>4490</v>
      </c>
      <c r="X753">
        <v>6</v>
      </c>
      <c r="Y753" t="s">
        <v>6345</v>
      </c>
      <c r="Z753" t="s">
        <v>8141</v>
      </c>
      <c r="AA753">
        <v>1.434739266166162</v>
      </c>
      <c r="AB753" t="str">
        <f>HYPERLINK("Melting_Curves/meltCurve_P01019_AGT.pdf", "Melting_Curves/meltCurve_P01019_AGT.pdf")</f>
        <v>Melting_Curves/meltCurve_P01019_AGT.pdf</v>
      </c>
    </row>
    <row r="754" spans="1:28" x14ac:dyDescent="0.25">
      <c r="A754" t="s">
        <v>758</v>
      </c>
      <c r="B754">
        <v>1</v>
      </c>
      <c r="C754">
        <v>1.1383150183150199</v>
      </c>
      <c r="D754">
        <v>1.56564102564103</v>
      </c>
      <c r="E754">
        <v>1.7386080586080599</v>
      </c>
      <c r="F754">
        <v>1.12249084249084</v>
      </c>
      <c r="G754">
        <v>1.2647619047619001</v>
      </c>
      <c r="H754">
        <v>0.75970695970696001</v>
      </c>
      <c r="I754">
        <v>1.17677655677656</v>
      </c>
      <c r="J754">
        <v>1.11970695970696</v>
      </c>
      <c r="K754">
        <v>1.05347985347985</v>
      </c>
      <c r="L754">
        <v>1.0000000000000001E-5</v>
      </c>
      <c r="M754">
        <v>1.0000000000000001E-5</v>
      </c>
      <c r="Q754">
        <v>1.3878955298720399</v>
      </c>
      <c r="R754">
        <v>-6.1536331585898601E-9</v>
      </c>
      <c r="S754" t="s">
        <v>2628</v>
      </c>
      <c r="T754" t="s">
        <v>3746</v>
      </c>
      <c r="U754" t="s">
        <v>3746</v>
      </c>
      <c r="V754" t="s">
        <v>3746</v>
      </c>
      <c r="W754" t="s">
        <v>4491</v>
      </c>
      <c r="X754">
        <v>50</v>
      </c>
      <c r="Y754" t="s">
        <v>6346</v>
      </c>
      <c r="Z754" t="s">
        <v>8142</v>
      </c>
      <c r="AA754">
        <v>1.193948716585473</v>
      </c>
      <c r="AB754" t="str">
        <f>HYPERLINK("Melting_Curves/meltCurve_P01023_A2M.pdf", "Melting_Curves/meltCurve_P01023_A2M.pdf")</f>
        <v>Melting_Curves/meltCurve_P01023_A2M.pdf</v>
      </c>
    </row>
    <row r="755" spans="1:28" x14ac:dyDescent="0.25">
      <c r="A755" t="s">
        <v>759</v>
      </c>
      <c r="B755">
        <v>1</v>
      </c>
      <c r="C755">
        <v>1.1307975391184699</v>
      </c>
      <c r="D755">
        <v>2.45697671152063</v>
      </c>
      <c r="E755">
        <v>3.3969154704048101</v>
      </c>
      <c r="F755">
        <v>2.2980869174368599</v>
      </c>
      <c r="G755">
        <v>2.7289659240947302</v>
      </c>
      <c r="H755">
        <v>1.6349411467258499</v>
      </c>
      <c r="I755">
        <v>2.58041407983819</v>
      </c>
      <c r="J755">
        <v>2.6166530887434298</v>
      </c>
      <c r="K755">
        <v>2.4149226058375701</v>
      </c>
      <c r="L755">
        <v>10769.5168357045</v>
      </c>
      <c r="M755">
        <v>250</v>
      </c>
      <c r="O755">
        <v>43.075310835937799</v>
      </c>
      <c r="P755">
        <v>0.72547358516855298</v>
      </c>
      <c r="Q755">
        <v>1.5</v>
      </c>
      <c r="R755">
        <v>-0.96714850019503795</v>
      </c>
      <c r="S755" t="s">
        <v>2629</v>
      </c>
      <c r="T755" t="s">
        <v>3746</v>
      </c>
      <c r="U755" t="s">
        <v>3746</v>
      </c>
      <c r="V755" t="s">
        <v>3746</v>
      </c>
      <c r="W755" t="s">
        <v>4492</v>
      </c>
      <c r="X755">
        <v>98</v>
      </c>
      <c r="Y755" t="s">
        <v>6347</v>
      </c>
      <c r="Z755" t="s">
        <v>8143</v>
      </c>
      <c r="AA755">
        <v>1.448661076939973</v>
      </c>
      <c r="AB755" t="str">
        <f>HYPERLINK("Melting_Curves/meltCurve_P01024_C3.pdf", "Melting_Curves/meltCurve_P01024_C3.pdf")</f>
        <v>Melting_Curves/meltCurve_P01024_C3.pdf</v>
      </c>
    </row>
    <row r="756" spans="1:28" x14ac:dyDescent="0.25">
      <c r="A756" t="s">
        <v>760</v>
      </c>
      <c r="B756">
        <v>1</v>
      </c>
      <c r="C756">
        <v>1.0492389227830199</v>
      </c>
      <c r="D756">
        <v>1.4644111665742301</v>
      </c>
      <c r="E756">
        <v>2.5321377950329702</v>
      </c>
      <c r="F756">
        <v>2.87027793184199</v>
      </c>
      <c r="G756">
        <v>3.6329574166512599</v>
      </c>
      <c r="H756">
        <v>2.4653971775436001</v>
      </c>
      <c r="I756">
        <v>3.6128058174647202</v>
      </c>
      <c r="J756">
        <v>3.74228138288038</v>
      </c>
      <c r="K756">
        <v>3.38084673691995</v>
      </c>
      <c r="L756">
        <v>3272.8747775189499</v>
      </c>
      <c r="M756">
        <v>74.012610038274005</v>
      </c>
      <c r="O756">
        <v>44.188231336484101</v>
      </c>
      <c r="P756">
        <v>0.209367369784344</v>
      </c>
      <c r="Q756">
        <v>1.5</v>
      </c>
      <c r="R756">
        <v>-1.07260738365264</v>
      </c>
      <c r="S756" t="s">
        <v>2630</v>
      </c>
      <c r="T756" t="s">
        <v>3746</v>
      </c>
      <c r="U756" t="s">
        <v>3746</v>
      </c>
      <c r="V756" t="s">
        <v>3746</v>
      </c>
      <c r="W756" t="s">
        <v>4493</v>
      </c>
      <c r="X756">
        <v>29</v>
      </c>
      <c r="Y756" t="s">
        <v>6348</v>
      </c>
      <c r="Z756" t="s">
        <v>8144</v>
      </c>
      <c r="AA756">
        <v>1.4292113178603461</v>
      </c>
      <c r="AB756" t="str">
        <f>HYPERLINK("Melting_Curves/meltCurve_P01031_C5.pdf", "Melting_Curves/meltCurve_P01031_C5.pdf")</f>
        <v>Melting_Curves/meltCurve_P01031_C5.pdf</v>
      </c>
    </row>
    <row r="757" spans="1:28" x14ac:dyDescent="0.25">
      <c r="A757" t="s">
        <v>761</v>
      </c>
      <c r="B757">
        <v>1</v>
      </c>
      <c r="C757">
        <v>1.0270742358078599</v>
      </c>
      <c r="D757">
        <v>1.14870980547836</v>
      </c>
      <c r="E757">
        <v>1.3641127431520399</v>
      </c>
      <c r="F757">
        <v>0.98499404525605405</v>
      </c>
      <c r="G757">
        <v>1.14251687177451</v>
      </c>
      <c r="H757">
        <v>0.71843588725684804</v>
      </c>
      <c r="I757">
        <v>0.97483128225486304</v>
      </c>
      <c r="J757">
        <v>0.91536323938070696</v>
      </c>
      <c r="K757">
        <v>0.84724096863834897</v>
      </c>
      <c r="L757">
        <v>3065.4708109357798</v>
      </c>
      <c r="M757">
        <v>52.0123853429414</v>
      </c>
      <c r="O757">
        <v>58.850396856239698</v>
      </c>
      <c r="P757">
        <v>-2.9781054016628901E-2</v>
      </c>
      <c r="Q757">
        <v>0.86521475693787897</v>
      </c>
      <c r="R757">
        <v>0.213428402992376</v>
      </c>
      <c r="S757" t="s">
        <v>2631</v>
      </c>
      <c r="T757" t="s">
        <v>3746</v>
      </c>
      <c r="U757" t="s">
        <v>3746</v>
      </c>
      <c r="V757" t="s">
        <v>3746</v>
      </c>
      <c r="W757" t="s">
        <v>4494</v>
      </c>
      <c r="X757">
        <v>8</v>
      </c>
      <c r="Y757" t="s">
        <v>6349</v>
      </c>
      <c r="Z757" t="s">
        <v>8145</v>
      </c>
      <c r="AA757">
        <v>0.95061880238344698</v>
      </c>
      <c r="AB757" t="str">
        <f>HYPERLINK("Melting_Curves/meltCurve_P01034_CST3.pdf", "Melting_Curves/meltCurve_P01034_CST3.pdf")</f>
        <v>Melting_Curves/meltCurve_P01034_CST3.pdf</v>
      </c>
    </row>
    <row r="758" spans="1:28" x14ac:dyDescent="0.25">
      <c r="A758" t="s">
        <v>762</v>
      </c>
      <c r="B758">
        <v>1</v>
      </c>
      <c r="C758">
        <v>1.24588002636783</v>
      </c>
      <c r="D758">
        <v>1.6027077734394799</v>
      </c>
      <c r="E758">
        <v>1.52040971553167</v>
      </c>
      <c r="F758">
        <v>1.0503270625221801</v>
      </c>
      <c r="G758">
        <v>1.2766593986106201</v>
      </c>
      <c r="H758">
        <v>0.86737487957000103</v>
      </c>
      <c r="I758">
        <v>0.71614015516454499</v>
      </c>
      <c r="J758">
        <v>1.0563612392880699</v>
      </c>
      <c r="K758">
        <v>0.98281020232239702</v>
      </c>
      <c r="L758">
        <v>10236.649536380701</v>
      </c>
      <c r="M758">
        <v>250</v>
      </c>
      <c r="O758">
        <v>40.943978930801897</v>
      </c>
      <c r="P758">
        <v>0.22365755778581201</v>
      </c>
      <c r="Q758">
        <v>1.1465188812470799</v>
      </c>
      <c r="R758">
        <v>2.7547166855732701E-2</v>
      </c>
      <c r="S758" t="s">
        <v>2632</v>
      </c>
      <c r="T758" t="s">
        <v>3746</v>
      </c>
      <c r="U758" t="s">
        <v>3746</v>
      </c>
      <c r="V758" t="s">
        <v>3746</v>
      </c>
      <c r="W758" t="s">
        <v>4495</v>
      </c>
      <c r="X758">
        <v>1</v>
      </c>
      <c r="Y758" t="s">
        <v>6350</v>
      </c>
      <c r="Z758" t="s">
        <v>8146</v>
      </c>
      <c r="AA758">
        <v>1.1418831633914459</v>
      </c>
      <c r="AB758" t="str">
        <f>HYPERLINK("Melting_Curves/meltCurve_P01036_CST4.pdf", "Melting_Curves/meltCurve_P01036_CST4.pdf")</f>
        <v>Melting_Curves/meltCurve_P01036_CST4.pdf</v>
      </c>
    </row>
    <row r="759" spans="1:28" x14ac:dyDescent="0.25">
      <c r="A759" t="s">
        <v>763</v>
      </c>
      <c r="B759">
        <v>1</v>
      </c>
      <c r="C759">
        <v>0.84008404031807704</v>
      </c>
      <c r="D759">
        <v>1.1359272359777699</v>
      </c>
      <c r="E759">
        <v>1.5411026302491999</v>
      </c>
      <c r="F759">
        <v>0.86024307864152505</v>
      </c>
      <c r="G759">
        <v>0.98186218451636897</v>
      </c>
      <c r="H759">
        <v>0.54272492752852297</v>
      </c>
      <c r="I759">
        <v>1.04366905135502</v>
      </c>
      <c r="J759">
        <v>0.88787532246482803</v>
      </c>
      <c r="K759">
        <v>0.85947182255791099</v>
      </c>
      <c r="L759">
        <v>14369.8139666076</v>
      </c>
      <c r="M759">
        <v>250</v>
      </c>
      <c r="O759">
        <v>57.475577986778099</v>
      </c>
      <c r="P759">
        <v>-0.181125475248652</v>
      </c>
      <c r="Q759">
        <v>0.83343533933881897</v>
      </c>
      <c r="R759">
        <v>0.17249637916412999</v>
      </c>
      <c r="S759" t="s">
        <v>2633</v>
      </c>
      <c r="T759" t="s">
        <v>3746</v>
      </c>
      <c r="U759" t="s">
        <v>3746</v>
      </c>
      <c r="V759" t="s">
        <v>3746</v>
      </c>
      <c r="W759" t="s">
        <v>4496</v>
      </c>
      <c r="X759">
        <v>20</v>
      </c>
      <c r="Y759" t="s">
        <v>6351</v>
      </c>
      <c r="Z759" t="s">
        <v>8147</v>
      </c>
      <c r="AA759">
        <v>0.93049968564891883</v>
      </c>
      <c r="AB759" t="str">
        <f>HYPERLINK("Melting_Curves/meltCurve_P01042_KNG1.pdf", "Melting_Curves/meltCurve_P01042_KNG1.pdf")</f>
        <v>Melting_Curves/meltCurve_P01042_KNG1.pdf</v>
      </c>
    </row>
    <row r="760" spans="1:28" x14ac:dyDescent="0.25">
      <c r="A760" t="s">
        <v>764</v>
      </c>
      <c r="B760">
        <v>1</v>
      </c>
      <c r="C760">
        <v>1.02337809762471</v>
      </c>
      <c r="D760">
        <v>1.2483668530060601</v>
      </c>
      <c r="E760">
        <v>1.4529118207714899</v>
      </c>
      <c r="F760">
        <v>0.992621388335582</v>
      </c>
      <c r="G760">
        <v>1.0594037139368999</v>
      </c>
      <c r="H760">
        <v>0.71273747563666001</v>
      </c>
      <c r="I760">
        <v>0.98486795604960498</v>
      </c>
      <c r="J760">
        <v>1.0072179742551799</v>
      </c>
      <c r="K760">
        <v>0.93721219130844502</v>
      </c>
      <c r="L760">
        <v>2379.1452393260402</v>
      </c>
      <c r="M760">
        <v>41.110607478494401</v>
      </c>
      <c r="O760">
        <v>57.735387507754702</v>
      </c>
      <c r="P760">
        <v>-1.2868824948017299E-2</v>
      </c>
      <c r="Q760">
        <v>0.92770867141609403</v>
      </c>
      <c r="R760">
        <v>1.8789111437071199E-2</v>
      </c>
      <c r="S760" t="s">
        <v>2634</v>
      </c>
      <c r="T760" t="s">
        <v>3746</v>
      </c>
      <c r="U760" t="s">
        <v>3746</v>
      </c>
      <c r="V760" t="s">
        <v>3746</v>
      </c>
      <c r="W760" t="s">
        <v>4497</v>
      </c>
      <c r="X760">
        <v>22</v>
      </c>
      <c r="Y760" t="s">
        <v>6351</v>
      </c>
      <c r="Z760" t="s">
        <v>8148</v>
      </c>
      <c r="AA760">
        <v>0.97104402594133132</v>
      </c>
      <c r="AB760" t="str">
        <f>HYPERLINK("Melting_Curves/meltCurve_P01042_2_KNG1.pdf", "Melting_Curves/meltCurve_P01042_2_KNG1.pdf")</f>
        <v>Melting_Curves/meltCurve_P01042_2_KNG1.pdf</v>
      </c>
    </row>
    <row r="761" spans="1:28" x14ac:dyDescent="0.25">
      <c r="A761" t="s">
        <v>765</v>
      </c>
      <c r="B761">
        <v>1</v>
      </c>
      <c r="C761">
        <v>0.99699100112485906</v>
      </c>
      <c r="D761">
        <v>1.6252812148481399</v>
      </c>
      <c r="E761">
        <v>2.1174634420697398</v>
      </c>
      <c r="F761">
        <v>1.7428290213723301</v>
      </c>
      <c r="G761">
        <v>1.9392575928008999</v>
      </c>
      <c r="H761">
        <v>1.0898200224971899</v>
      </c>
      <c r="I761">
        <v>2.0554274465691802</v>
      </c>
      <c r="J761">
        <v>1.79789088863892</v>
      </c>
      <c r="K761">
        <v>1.5001124859392601</v>
      </c>
      <c r="L761">
        <v>11021.2150772718</v>
      </c>
      <c r="M761">
        <v>250</v>
      </c>
      <c r="O761">
        <v>44.082039632784898</v>
      </c>
      <c r="P761">
        <v>0.70890550039563005</v>
      </c>
      <c r="Q761">
        <v>1.5</v>
      </c>
      <c r="R761">
        <v>0.26067378099294602</v>
      </c>
      <c r="S761" t="s">
        <v>2635</v>
      </c>
      <c r="T761" t="s">
        <v>3746</v>
      </c>
      <c r="U761" t="s">
        <v>3746</v>
      </c>
      <c r="V761" t="s">
        <v>3746</v>
      </c>
      <c r="W761" t="s">
        <v>4498</v>
      </c>
      <c r="X761">
        <v>4</v>
      </c>
      <c r="Y761" t="s">
        <v>6352</v>
      </c>
      <c r="Z761" t="s">
        <v>8149</v>
      </c>
      <c r="AA761">
        <v>1.4318803107266509</v>
      </c>
      <c r="AB761" t="str">
        <f>HYPERLINK("Melting_Curves/meltCurve_P01112_HRAS.pdf", "Melting_Curves/meltCurve_P01112_HRAS.pdf")</f>
        <v>Melting_Curves/meltCurve_P01112_HRAS.pdf</v>
      </c>
    </row>
    <row r="762" spans="1:28" x14ac:dyDescent="0.25">
      <c r="A762" t="s">
        <v>766</v>
      </c>
      <c r="B762">
        <v>1</v>
      </c>
      <c r="C762">
        <v>1.0167370480997</v>
      </c>
      <c r="D762">
        <v>1.70820887836028</v>
      </c>
      <c r="E762">
        <v>2.36085075702956</v>
      </c>
      <c r="F762">
        <v>1.79343907714492</v>
      </c>
      <c r="G762">
        <v>2.2801009372746899</v>
      </c>
      <c r="H762">
        <v>1.4176279740447</v>
      </c>
      <c r="I762">
        <v>2.4641569677618702</v>
      </c>
      <c r="J762">
        <v>2.4873313420537602</v>
      </c>
      <c r="K762">
        <v>2.21997631063961</v>
      </c>
      <c r="S762" t="s">
        <v>2636</v>
      </c>
      <c r="T762" t="s">
        <v>3746</v>
      </c>
      <c r="U762" t="s">
        <v>3747</v>
      </c>
      <c r="V762" t="s">
        <v>3746</v>
      </c>
      <c r="W762" t="s">
        <v>4499</v>
      </c>
      <c r="X762">
        <v>5</v>
      </c>
      <c r="Y762" t="s">
        <v>6353</v>
      </c>
      <c r="Z762" t="s">
        <v>8150</v>
      </c>
      <c r="AB762" t="str">
        <f>HYPERLINK("Melting_Curves/meltCurve_P01116_2_KRAS.pdf", "Melting_Curves/meltCurve_P01116_2_KRAS.pdf")</f>
        <v>Melting_Curves/meltCurve_P01116_2_KRAS.pdf</v>
      </c>
    </row>
    <row r="763" spans="1:28" x14ac:dyDescent="0.25">
      <c r="A763" t="s">
        <v>767</v>
      </c>
      <c r="B763">
        <v>1</v>
      </c>
      <c r="C763">
        <v>1.04559598769952</v>
      </c>
      <c r="D763">
        <v>1.7589141894860201</v>
      </c>
      <c r="E763">
        <v>2.5968296968809499</v>
      </c>
      <c r="F763">
        <v>1.68353712110119</v>
      </c>
      <c r="G763">
        <v>1.87289500658954</v>
      </c>
      <c r="H763">
        <v>1.2098037780055599</v>
      </c>
      <c r="I763">
        <v>1.7561502416166399</v>
      </c>
      <c r="J763">
        <v>1.80939742275589</v>
      </c>
      <c r="K763">
        <v>1.6607482793966899</v>
      </c>
      <c r="L763">
        <v>10823.6330223103</v>
      </c>
      <c r="M763">
        <v>250</v>
      </c>
      <c r="O763">
        <v>43.291761251602999</v>
      </c>
      <c r="P763">
        <v>0.72184634985538498</v>
      </c>
      <c r="Q763">
        <v>1.5</v>
      </c>
      <c r="R763">
        <v>0.13266313906383401</v>
      </c>
      <c r="S763" t="s">
        <v>2637</v>
      </c>
      <c r="T763" t="s">
        <v>3746</v>
      </c>
      <c r="U763" t="s">
        <v>3746</v>
      </c>
      <c r="V763" t="s">
        <v>3746</v>
      </c>
      <c r="W763" t="s">
        <v>4500</v>
      </c>
      <c r="X763">
        <v>23</v>
      </c>
      <c r="Y763" t="s">
        <v>6354</v>
      </c>
      <c r="Z763" t="s">
        <v>8151</v>
      </c>
      <c r="AA763">
        <v>1.445053141228188</v>
      </c>
      <c r="AB763" t="str">
        <f>HYPERLINK("Melting_Curves/meltCurve_P01133_3_EGF.pdf", "Melting_Curves/meltCurve_P01133_3_EGF.pdf")</f>
        <v>Melting_Curves/meltCurve_P01133_3_EGF.pdf</v>
      </c>
    </row>
    <row r="764" spans="1:28" x14ac:dyDescent="0.25">
      <c r="A764" t="s">
        <v>768</v>
      </c>
      <c r="B764">
        <v>1</v>
      </c>
      <c r="C764">
        <v>1.04510556621881</v>
      </c>
      <c r="D764">
        <v>1.4067898272552799</v>
      </c>
      <c r="E764">
        <v>1.72456813819578</v>
      </c>
      <c r="F764">
        <v>1.45621401151631</v>
      </c>
      <c r="G764">
        <v>1.3250959692898301</v>
      </c>
      <c r="H764">
        <v>0.884117082533589</v>
      </c>
      <c r="I764">
        <v>1.3145993282149699</v>
      </c>
      <c r="J764">
        <v>1.39857245681382</v>
      </c>
      <c r="K764">
        <v>1.21155230326296</v>
      </c>
      <c r="L764">
        <v>10805.576815668401</v>
      </c>
      <c r="M764">
        <v>250</v>
      </c>
      <c r="O764">
        <v>43.219536954913004</v>
      </c>
      <c r="P764">
        <v>0.49194854426773299</v>
      </c>
      <c r="Q764">
        <v>1.3401886466497701</v>
      </c>
      <c r="R764">
        <v>0.29167973915527701</v>
      </c>
      <c r="S764" t="s">
        <v>2638</v>
      </c>
      <c r="T764" t="s">
        <v>3746</v>
      </c>
      <c r="U764" t="s">
        <v>3746</v>
      </c>
      <c r="V764" t="s">
        <v>3746</v>
      </c>
      <c r="W764" t="s">
        <v>4501</v>
      </c>
      <c r="X764">
        <v>4</v>
      </c>
      <c r="Y764" t="s">
        <v>6355</v>
      </c>
      <c r="Z764" t="s">
        <v>8152</v>
      </c>
      <c r="AA764">
        <v>1.3036230969224369</v>
      </c>
      <c r="AB764" t="str">
        <f>HYPERLINK("Melting_Curves/meltCurve_P01236_PRL.pdf", "Melting_Curves/meltCurve_P01236_PRL.pdf")</f>
        <v>Melting_Curves/meltCurve_P01236_PRL.pdf</v>
      </c>
    </row>
    <row r="765" spans="1:28" x14ac:dyDescent="0.25">
      <c r="A765" t="s">
        <v>769</v>
      </c>
      <c r="B765">
        <v>1</v>
      </c>
      <c r="C765">
        <v>0.96636452168701803</v>
      </c>
      <c r="D765">
        <v>1.39029140759607</v>
      </c>
      <c r="E765">
        <v>1.5534496966064899</v>
      </c>
      <c r="F765">
        <v>1.0176792269083801</v>
      </c>
      <c r="G765">
        <v>1.03386021424826</v>
      </c>
      <c r="H765">
        <v>0.76200464454266204</v>
      </c>
      <c r="I765">
        <v>0.97827552625664804</v>
      </c>
      <c r="J765">
        <v>1.0834519439658401</v>
      </c>
      <c r="K765">
        <v>1.0011236796763801</v>
      </c>
      <c r="L765">
        <v>11052.887223706301</v>
      </c>
      <c r="M765">
        <v>250</v>
      </c>
      <c r="O765">
        <v>44.208720166442603</v>
      </c>
      <c r="P765">
        <v>0.14492846988910801</v>
      </c>
      <c r="Q765">
        <v>1.1025136333917001</v>
      </c>
      <c r="R765">
        <v>4.7929590072491098E-2</v>
      </c>
      <c r="S765" t="s">
        <v>2639</v>
      </c>
      <c r="T765" t="s">
        <v>3746</v>
      </c>
      <c r="U765" t="s">
        <v>3746</v>
      </c>
      <c r="V765" t="s">
        <v>3746</v>
      </c>
      <c r="W765" t="s">
        <v>4502</v>
      </c>
      <c r="X765">
        <v>7</v>
      </c>
      <c r="Y765" t="s">
        <v>6356</v>
      </c>
      <c r="Z765" t="s">
        <v>8153</v>
      </c>
      <c r="AA765">
        <v>1.0881143066522501</v>
      </c>
      <c r="AB765" t="str">
        <f>HYPERLINK("Melting_Curves/meltCurve_P01591_IGJ.pdf", "Melting_Curves/meltCurve_P01591_IGJ.pdf")</f>
        <v>Melting_Curves/meltCurve_P01591_IGJ.pdf</v>
      </c>
    </row>
    <row r="766" spans="1:28" x14ac:dyDescent="0.25">
      <c r="A766" t="s">
        <v>770</v>
      </c>
      <c r="B766">
        <v>1</v>
      </c>
      <c r="C766">
        <v>0.90505400720095996</v>
      </c>
      <c r="D766">
        <v>1.1543761390407601</v>
      </c>
      <c r="E766">
        <v>1.1196159487931701</v>
      </c>
      <c r="F766">
        <v>0.90509845757212104</v>
      </c>
      <c r="G766">
        <v>1.05022891941148</v>
      </c>
      <c r="H766">
        <v>0.44952660354714002</v>
      </c>
      <c r="I766">
        <v>0.80739654176112396</v>
      </c>
      <c r="J766">
        <v>0.77365871005022901</v>
      </c>
      <c r="K766">
        <v>0.71929590612081595</v>
      </c>
      <c r="L766">
        <v>14689.1568538803</v>
      </c>
      <c r="M766">
        <v>250</v>
      </c>
      <c r="O766">
        <v>58.752851913902902</v>
      </c>
      <c r="P766">
        <v>-0.33245907192519503</v>
      </c>
      <c r="Q766">
        <v>0.68747321982796805</v>
      </c>
      <c r="R766">
        <v>0.65831923313642404</v>
      </c>
      <c r="S766" t="s">
        <v>2640</v>
      </c>
      <c r="T766" t="s">
        <v>3746</v>
      </c>
      <c r="U766" t="s">
        <v>3746</v>
      </c>
      <c r="V766" t="s">
        <v>3746</v>
      </c>
      <c r="W766" t="s">
        <v>4503</v>
      </c>
      <c r="X766">
        <v>3</v>
      </c>
      <c r="Z766" t="s">
        <v>8154</v>
      </c>
      <c r="AA766">
        <v>0.88290372574351583</v>
      </c>
      <c r="AB766" t="str">
        <f>HYPERLINK("Melting_Curves/meltCurve_P01593_.pdf", "Melting_Curves/meltCurve_P01593_.pdf")</f>
        <v>Melting_Curves/meltCurve_P01593_.pdf</v>
      </c>
    </row>
    <row r="767" spans="1:28" x14ac:dyDescent="0.25">
      <c r="A767" t="s">
        <v>771</v>
      </c>
      <c r="B767">
        <v>1</v>
      </c>
      <c r="C767">
        <v>0.87418785677218502</v>
      </c>
      <c r="D767">
        <v>0.94378827192527204</v>
      </c>
      <c r="E767">
        <v>1.0062065386611301</v>
      </c>
      <c r="F767">
        <v>0.85801764400622704</v>
      </c>
      <c r="G767">
        <v>0.94069538142189901</v>
      </c>
      <c r="H767">
        <v>0.54117280747275598</v>
      </c>
      <c r="I767">
        <v>0.79653347171769595</v>
      </c>
      <c r="J767">
        <v>0.83761286974571902</v>
      </c>
      <c r="K767">
        <v>0.70192008303061804</v>
      </c>
      <c r="L767">
        <v>1229.07059382283</v>
      </c>
      <c r="M767">
        <v>22.314129757914198</v>
      </c>
      <c r="O767">
        <v>54.643748047748701</v>
      </c>
      <c r="P767">
        <v>-2.7637519466552199E-2</v>
      </c>
      <c r="Q767">
        <v>0.72928630622192103</v>
      </c>
      <c r="R767">
        <v>0.45784246557133701</v>
      </c>
      <c r="S767" t="s">
        <v>2641</v>
      </c>
      <c r="T767" t="s">
        <v>3746</v>
      </c>
      <c r="U767" t="s">
        <v>3746</v>
      </c>
      <c r="V767" t="s">
        <v>3746</v>
      </c>
      <c r="W767" t="s">
        <v>4504</v>
      </c>
      <c r="X767">
        <v>2</v>
      </c>
      <c r="Z767" t="s">
        <v>8155</v>
      </c>
      <c r="AA767">
        <v>0.86840129414564093</v>
      </c>
      <c r="AB767" t="str">
        <f>HYPERLINK("Melting_Curves/meltCurve_P01594_.pdf", "Melting_Curves/meltCurve_P01594_.pdf")</f>
        <v>Melting_Curves/meltCurve_P01594_.pdf</v>
      </c>
    </row>
    <row r="768" spans="1:28" x14ac:dyDescent="0.25">
      <c r="A768" t="s">
        <v>772</v>
      </c>
      <c r="B768">
        <v>1</v>
      </c>
      <c r="C768">
        <v>1.1487097855227899</v>
      </c>
      <c r="D768">
        <v>1.2497905495978601</v>
      </c>
      <c r="E768">
        <v>1.47980898123324</v>
      </c>
      <c r="F768">
        <v>0.80743130026809695</v>
      </c>
      <c r="G768">
        <v>0.89607071045576403</v>
      </c>
      <c r="H768">
        <v>0.54955596514745297</v>
      </c>
      <c r="I768">
        <v>0.88094839142091197</v>
      </c>
      <c r="J768">
        <v>0.87194202412868604</v>
      </c>
      <c r="K768">
        <v>0.99589477211796296</v>
      </c>
      <c r="L768">
        <v>12940.096414988</v>
      </c>
      <c r="M768">
        <v>250</v>
      </c>
      <c r="O768">
        <v>51.757073418989997</v>
      </c>
      <c r="P768">
        <v>-0.20095626177224901</v>
      </c>
      <c r="Q768">
        <v>0.833585472540737</v>
      </c>
      <c r="R768">
        <v>0.27674019255070798</v>
      </c>
      <c r="S768" t="s">
        <v>2642</v>
      </c>
      <c r="T768" t="s">
        <v>3746</v>
      </c>
      <c r="U768" t="s">
        <v>3746</v>
      </c>
      <c r="V768" t="s">
        <v>3746</v>
      </c>
      <c r="W768" t="s">
        <v>4505</v>
      </c>
      <c r="X768">
        <v>2</v>
      </c>
      <c r="Z768" t="s">
        <v>8156</v>
      </c>
      <c r="AA768">
        <v>0.89883722349327722</v>
      </c>
      <c r="AB768" t="str">
        <f>HYPERLINK("Melting_Curves/meltCurve_P01596_.pdf", "Melting_Curves/meltCurve_P01596_.pdf")</f>
        <v>Melting_Curves/meltCurve_P01596_.pdf</v>
      </c>
    </row>
    <row r="769" spans="1:28" x14ac:dyDescent="0.25">
      <c r="A769" t="s">
        <v>773</v>
      </c>
      <c r="B769">
        <v>1</v>
      </c>
      <c r="C769">
        <v>0.98953765674282601</v>
      </c>
      <c r="D769">
        <v>1.31617816755135</v>
      </c>
      <c r="E769">
        <v>1.35795061158551</v>
      </c>
      <c r="F769">
        <v>0.94122624817293599</v>
      </c>
      <c r="G769">
        <v>1.1554734979613801</v>
      </c>
      <c r="H769">
        <v>0.56506654358027497</v>
      </c>
      <c r="I769">
        <v>0.95753519501500095</v>
      </c>
      <c r="J769">
        <v>0.89360720055388898</v>
      </c>
      <c r="K769">
        <v>0.87599046080467702</v>
      </c>
      <c r="L769">
        <v>2793.9973956221402</v>
      </c>
      <c r="M769">
        <v>47.6482092437302</v>
      </c>
      <c r="O769">
        <v>58.535028392581303</v>
      </c>
      <c r="P769">
        <v>-3.3470493760558898E-2</v>
      </c>
      <c r="Q769">
        <v>0.83552840511342297</v>
      </c>
      <c r="R769">
        <v>0.21360670757557801</v>
      </c>
      <c r="S769" t="s">
        <v>2643</v>
      </c>
      <c r="T769" t="s">
        <v>3746</v>
      </c>
      <c r="U769" t="s">
        <v>3746</v>
      </c>
      <c r="V769" t="s">
        <v>3746</v>
      </c>
      <c r="W769" t="s">
        <v>4506</v>
      </c>
      <c r="X769">
        <v>2</v>
      </c>
      <c r="Z769" t="s">
        <v>8157</v>
      </c>
      <c r="AA769">
        <v>0.93817359693612856</v>
      </c>
      <c r="AB769" t="str">
        <f>HYPERLINK("Melting_Curves/meltCurve_P01598_.pdf", "Melting_Curves/meltCurve_P01598_.pdf")</f>
        <v>Melting_Curves/meltCurve_P01598_.pdf</v>
      </c>
    </row>
    <row r="770" spans="1:28" x14ac:dyDescent="0.25">
      <c r="A770" t="s">
        <v>774</v>
      </c>
      <c r="B770">
        <v>1</v>
      </c>
      <c r="C770">
        <v>0.92331135847833101</v>
      </c>
      <c r="D770">
        <v>1.36997730465795</v>
      </c>
      <c r="E770">
        <v>1.4478331351993901</v>
      </c>
      <c r="F770">
        <v>0.88712849886523304</v>
      </c>
      <c r="G770">
        <v>1.1721819950286401</v>
      </c>
      <c r="H770">
        <v>0.63970604128390796</v>
      </c>
      <c r="I770">
        <v>0.97700205338808999</v>
      </c>
      <c r="J770">
        <v>0.82807738030908895</v>
      </c>
      <c r="K770">
        <v>0.95123743650707904</v>
      </c>
      <c r="L770">
        <v>3031.9800410207499</v>
      </c>
      <c r="M770">
        <v>51.484110407001701</v>
      </c>
      <c r="O770">
        <v>58.8029286789411</v>
      </c>
      <c r="P770">
        <v>-3.10958693752614E-2</v>
      </c>
      <c r="Q770">
        <v>0.85793469034797398</v>
      </c>
      <c r="R770">
        <v>0.12918509801888001</v>
      </c>
      <c r="S770" t="s">
        <v>2644</v>
      </c>
      <c r="T770" t="s">
        <v>3746</v>
      </c>
      <c r="U770" t="s">
        <v>3746</v>
      </c>
      <c r="V770" t="s">
        <v>3746</v>
      </c>
      <c r="W770" t="s">
        <v>4507</v>
      </c>
      <c r="X770">
        <v>1</v>
      </c>
      <c r="Z770" t="s">
        <v>8158</v>
      </c>
      <c r="AA770">
        <v>0.94774160360783666</v>
      </c>
      <c r="AB770" t="str">
        <f>HYPERLINK("Melting_Curves/meltCurve_P01601_.pdf", "Melting_Curves/meltCurve_P01601_.pdf")</f>
        <v>Melting_Curves/meltCurve_P01601_.pdf</v>
      </c>
    </row>
    <row r="771" spans="1:28" x14ac:dyDescent="0.25">
      <c r="A771" t="s">
        <v>775</v>
      </c>
      <c r="B771">
        <v>1</v>
      </c>
      <c r="C771">
        <v>0.82208869291050701</v>
      </c>
      <c r="D771">
        <v>1.56782197445681</v>
      </c>
      <c r="E771">
        <v>1.4062464301217801</v>
      </c>
      <c r="F771">
        <v>0.63725467796842505</v>
      </c>
      <c r="G771">
        <v>0.60097329159907698</v>
      </c>
      <c r="H771">
        <v>0.67787703625853901</v>
      </c>
      <c r="I771">
        <v>0.93340035184719805</v>
      </c>
      <c r="J771">
        <v>1.0131371518654799</v>
      </c>
      <c r="K771">
        <v>1.0504923576047001</v>
      </c>
      <c r="S771" t="s">
        <v>2645</v>
      </c>
      <c r="T771" t="s">
        <v>3746</v>
      </c>
      <c r="U771" t="s">
        <v>3747</v>
      </c>
      <c r="V771" t="s">
        <v>3746</v>
      </c>
      <c r="W771" t="s">
        <v>4508</v>
      </c>
      <c r="X771">
        <v>3</v>
      </c>
      <c r="Z771" t="s">
        <v>8159</v>
      </c>
      <c r="AB771" t="str">
        <f>HYPERLINK("Melting_Curves/meltCurve_P01603_.pdf", "Melting_Curves/meltCurve_P01603_.pdf")</f>
        <v>Melting_Curves/meltCurve_P01603_.pdf</v>
      </c>
    </row>
    <row r="772" spans="1:28" x14ac:dyDescent="0.25">
      <c r="A772" t="s">
        <v>776</v>
      </c>
      <c r="B772">
        <v>1</v>
      </c>
      <c r="C772">
        <v>1.0689996465181999</v>
      </c>
      <c r="D772">
        <v>1.41958289148109</v>
      </c>
      <c r="E772">
        <v>1.5652173913043499</v>
      </c>
      <c r="F772">
        <v>0.91042771297278202</v>
      </c>
      <c r="G772">
        <v>1.1956168257334701</v>
      </c>
      <c r="H772">
        <v>0.63886885825380002</v>
      </c>
      <c r="I772">
        <v>1.0299752562743001</v>
      </c>
      <c r="J772">
        <v>0.92032520325203204</v>
      </c>
      <c r="K772">
        <v>0.92824319547543299</v>
      </c>
      <c r="L772">
        <v>1896.3637030682401</v>
      </c>
      <c r="M772">
        <v>32.239177269670797</v>
      </c>
      <c r="O772">
        <v>58.596780857293098</v>
      </c>
      <c r="P772">
        <v>-1.3662583820121E-2</v>
      </c>
      <c r="Q772">
        <v>0.90066998208784599</v>
      </c>
      <c r="R772">
        <v>-1.7885834340183999E-2</v>
      </c>
      <c r="S772" t="s">
        <v>2646</v>
      </c>
      <c r="T772" t="s">
        <v>3746</v>
      </c>
      <c r="U772" t="s">
        <v>3746</v>
      </c>
      <c r="V772" t="s">
        <v>3746</v>
      </c>
      <c r="W772" t="s">
        <v>4509</v>
      </c>
      <c r="X772">
        <v>1</v>
      </c>
      <c r="Z772" t="s">
        <v>8160</v>
      </c>
      <c r="AA772">
        <v>0.96355991091427928</v>
      </c>
      <c r="AB772" t="str">
        <f>HYPERLINK("Melting_Curves/meltCurve_P01604_.pdf", "Melting_Curves/meltCurve_P01604_.pdf")</f>
        <v>Melting_Curves/meltCurve_P01604_.pdf</v>
      </c>
    </row>
    <row r="773" spans="1:28" x14ac:dyDescent="0.25">
      <c r="A773" t="s">
        <v>777</v>
      </c>
      <c r="B773">
        <v>1</v>
      </c>
      <c r="C773">
        <v>0.99863235111276905</v>
      </c>
      <c r="D773">
        <v>1.19781176178043</v>
      </c>
      <c r="E773">
        <v>1.2566621078370399</v>
      </c>
      <c r="F773">
        <v>0.93563761448878902</v>
      </c>
      <c r="G773">
        <v>1.17054167184715</v>
      </c>
      <c r="H773">
        <v>0.51813170873223102</v>
      </c>
      <c r="I773">
        <v>0.95379004517385702</v>
      </c>
      <c r="J773">
        <v>0.86277922831447595</v>
      </c>
      <c r="K773">
        <v>0.79452111566994099</v>
      </c>
      <c r="L773">
        <v>3294.8658426090201</v>
      </c>
      <c r="M773">
        <v>56.141556079663701</v>
      </c>
      <c r="O773">
        <v>58.614211412149103</v>
      </c>
      <c r="P773">
        <v>-4.8486533078363002E-2</v>
      </c>
      <c r="Q773">
        <v>0.79751195257600904</v>
      </c>
      <c r="R773">
        <v>0.36575923804475502</v>
      </c>
      <c r="S773" t="s">
        <v>2647</v>
      </c>
      <c r="T773" t="s">
        <v>3746</v>
      </c>
      <c r="U773" t="s">
        <v>3746</v>
      </c>
      <c r="V773" t="s">
        <v>3746</v>
      </c>
      <c r="W773" t="s">
        <v>4510</v>
      </c>
      <c r="X773">
        <v>2</v>
      </c>
      <c r="Z773" t="s">
        <v>8161</v>
      </c>
      <c r="AA773">
        <v>0.9240662306967562</v>
      </c>
      <c r="AB773" t="str">
        <f>HYPERLINK("Melting_Curves/meltCurve_P01605_.pdf", "Melting_Curves/meltCurve_P01605_.pdf")</f>
        <v>Melting_Curves/meltCurve_P01605_.pdf</v>
      </c>
    </row>
    <row r="774" spans="1:28" x14ac:dyDescent="0.25">
      <c r="A774" t="s">
        <v>778</v>
      </c>
      <c r="B774">
        <v>1</v>
      </c>
      <c r="C774">
        <v>0.60661577608142503</v>
      </c>
      <c r="D774">
        <v>1.01378892523931</v>
      </c>
      <c r="E774">
        <v>0.79016115351993199</v>
      </c>
      <c r="F774">
        <v>0.52960135708227296</v>
      </c>
      <c r="G774">
        <v>1.1811462498485401</v>
      </c>
      <c r="H774">
        <v>0.511183811947171</v>
      </c>
      <c r="I774">
        <v>0.91535199321458904</v>
      </c>
      <c r="J774">
        <v>0.86506724827335502</v>
      </c>
      <c r="K774">
        <v>0.82045316854477202</v>
      </c>
      <c r="L774">
        <v>10231.296949203899</v>
      </c>
      <c r="M774">
        <v>250</v>
      </c>
      <c r="O774">
        <v>40.922569156876001</v>
      </c>
      <c r="P774">
        <v>-0.29979186355771198</v>
      </c>
      <c r="Q774">
        <v>0.80370794936619405</v>
      </c>
      <c r="R774">
        <v>7.9257787209504396E-2</v>
      </c>
      <c r="S774" t="s">
        <v>2648</v>
      </c>
      <c r="T774" t="s">
        <v>3746</v>
      </c>
      <c r="U774" t="s">
        <v>3746</v>
      </c>
      <c r="V774" t="s">
        <v>3746</v>
      </c>
      <c r="W774" t="s">
        <v>4511</v>
      </c>
      <c r="X774">
        <v>2</v>
      </c>
      <c r="Z774" t="s">
        <v>8162</v>
      </c>
      <c r="AA774">
        <v>0.80977873825994584</v>
      </c>
      <c r="AB774" t="str">
        <f>HYPERLINK("Melting_Curves/meltCurve_P01608_.pdf", "Melting_Curves/meltCurve_P01608_.pdf")</f>
        <v>Melting_Curves/meltCurve_P01608_.pdf</v>
      </c>
    </row>
    <row r="775" spans="1:28" x14ac:dyDescent="0.25">
      <c r="A775" t="s">
        <v>779</v>
      </c>
      <c r="B775">
        <v>1</v>
      </c>
      <c r="C775">
        <v>0.74900748781345805</v>
      </c>
      <c r="D775">
        <v>0.79106990301020197</v>
      </c>
      <c r="E775">
        <v>0.78280315593748395</v>
      </c>
      <c r="F775">
        <v>0.55824413287099806</v>
      </c>
      <c r="G775">
        <v>0.555279159756772</v>
      </c>
      <c r="H775">
        <v>0.41615156540529702</v>
      </c>
      <c r="I775">
        <v>0.48025026383235297</v>
      </c>
      <c r="J775">
        <v>0.57432534298205895</v>
      </c>
      <c r="K775">
        <v>0.63942911704105698</v>
      </c>
      <c r="L775">
        <v>530.50410861978105</v>
      </c>
      <c r="M775">
        <v>11.4255157751819</v>
      </c>
      <c r="O775">
        <v>45.077408525255997</v>
      </c>
      <c r="P775">
        <v>-3.0744591697150301E-2</v>
      </c>
      <c r="Q775">
        <v>0.51495109523592997</v>
      </c>
      <c r="R775">
        <v>0.74792681967389596</v>
      </c>
      <c r="S775" t="s">
        <v>2649</v>
      </c>
      <c r="T775" t="s">
        <v>3746</v>
      </c>
      <c r="U775" t="s">
        <v>3746</v>
      </c>
      <c r="V775" t="s">
        <v>3746</v>
      </c>
      <c r="W775" t="s">
        <v>4512</v>
      </c>
      <c r="X775">
        <v>2</v>
      </c>
      <c r="Z775" t="s">
        <v>8163</v>
      </c>
      <c r="AA775">
        <v>0.64221579181401445</v>
      </c>
      <c r="AB775" t="str">
        <f>HYPERLINK("Melting_Curves/meltCurve_P01609_.pdf", "Melting_Curves/meltCurve_P01609_.pdf")</f>
        <v>Melting_Curves/meltCurve_P01609_.pdf</v>
      </c>
    </row>
    <row r="776" spans="1:28" x14ac:dyDescent="0.25">
      <c r="A776" t="s">
        <v>780</v>
      </c>
      <c r="B776">
        <v>1</v>
      </c>
      <c r="C776">
        <v>0.90202112301496895</v>
      </c>
      <c r="D776">
        <v>1.2687105843021</v>
      </c>
      <c r="E776">
        <v>1.25397006306512</v>
      </c>
      <c r="F776">
        <v>0.88089810804650104</v>
      </c>
      <c r="G776">
        <v>1.0799711268140699</v>
      </c>
      <c r="H776">
        <v>0.45820986247245599</v>
      </c>
      <c r="I776">
        <v>0.86015500341919304</v>
      </c>
      <c r="J776">
        <v>0.77087607324671403</v>
      </c>
      <c r="K776">
        <v>0.75085479826760904</v>
      </c>
      <c r="L776">
        <v>5373.8009673771803</v>
      </c>
      <c r="M776">
        <v>91.685747981222704</v>
      </c>
      <c r="O776">
        <v>58.583215787077201</v>
      </c>
      <c r="P776">
        <v>-0.11285100027982201</v>
      </c>
      <c r="Q776">
        <v>0.71157244657034302</v>
      </c>
      <c r="R776">
        <v>0.50284455684540197</v>
      </c>
      <c r="S776" t="s">
        <v>2650</v>
      </c>
      <c r="T776" t="s">
        <v>3746</v>
      </c>
      <c r="U776" t="s">
        <v>3746</v>
      </c>
      <c r="V776" t="s">
        <v>3746</v>
      </c>
      <c r="W776" t="s">
        <v>4513</v>
      </c>
      <c r="X776">
        <v>2</v>
      </c>
      <c r="Z776" t="s">
        <v>8164</v>
      </c>
      <c r="AA776">
        <v>0.89072497468001932</v>
      </c>
      <c r="AB776" t="str">
        <f>HYPERLINK("Melting_Curves/meltCurve_P01610_.pdf", "Melting_Curves/meltCurve_P01610_.pdf")</f>
        <v>Melting_Curves/meltCurve_P01610_.pdf</v>
      </c>
    </row>
    <row r="777" spans="1:28" x14ac:dyDescent="0.25">
      <c r="A777" t="s">
        <v>781</v>
      </c>
      <c r="B777">
        <v>1</v>
      </c>
      <c r="C777">
        <v>0.93261176080285302</v>
      </c>
      <c r="D777">
        <v>1.25356639296674</v>
      </c>
      <c r="E777">
        <v>1.2666915484780601</v>
      </c>
      <c r="F777">
        <v>0.98322551215061804</v>
      </c>
      <c r="G777">
        <v>1.0738989798457299</v>
      </c>
      <c r="H777">
        <v>0.47103342456664199</v>
      </c>
      <c r="I777">
        <v>0.88716098531973098</v>
      </c>
      <c r="J777">
        <v>0.83891100605457403</v>
      </c>
      <c r="K777">
        <v>0.78958281496226301</v>
      </c>
      <c r="L777">
        <v>4403.9870191927403</v>
      </c>
      <c r="M777">
        <v>75.204122122679195</v>
      </c>
      <c r="O777">
        <v>58.5191006503713</v>
      </c>
      <c r="P777">
        <v>-8.0507506407854798E-2</v>
      </c>
      <c r="Q777">
        <v>0.74941669764535102</v>
      </c>
      <c r="R777">
        <v>0.45485365330212602</v>
      </c>
      <c r="S777" t="s">
        <v>2651</v>
      </c>
      <c r="T777" t="s">
        <v>3746</v>
      </c>
      <c r="U777" t="s">
        <v>3746</v>
      </c>
      <c r="V777" t="s">
        <v>3746</v>
      </c>
      <c r="W777" t="s">
        <v>4514</v>
      </c>
      <c r="X777">
        <v>2</v>
      </c>
      <c r="Z777" t="s">
        <v>8165</v>
      </c>
      <c r="AA777">
        <v>0.90473315543273702</v>
      </c>
      <c r="AB777" t="str">
        <f>HYPERLINK("Melting_Curves/meltCurve_P01611_.pdf", "Melting_Curves/meltCurve_P01611_.pdf")</f>
        <v>Melting_Curves/meltCurve_P01611_.pdf</v>
      </c>
    </row>
    <row r="778" spans="1:28" x14ac:dyDescent="0.25">
      <c r="A778" t="s">
        <v>782</v>
      </c>
      <c r="B778">
        <v>1</v>
      </c>
      <c r="C778">
        <v>0.98</v>
      </c>
      <c r="D778">
        <v>1.2316058394160601</v>
      </c>
      <c r="E778">
        <v>1.21627737226277</v>
      </c>
      <c r="F778">
        <v>0.98456204379561996</v>
      </c>
      <c r="G778">
        <v>1.1359854014598501</v>
      </c>
      <c r="H778">
        <v>0.44313868613138702</v>
      </c>
      <c r="I778">
        <v>0.91069343065693398</v>
      </c>
      <c r="J778">
        <v>0.81094890510948903</v>
      </c>
      <c r="K778">
        <v>0.75010948905109498</v>
      </c>
      <c r="L778">
        <v>14713.1722030736</v>
      </c>
      <c r="M778">
        <v>250</v>
      </c>
      <c r="O778">
        <v>58.848922714989897</v>
      </c>
      <c r="P778">
        <v>-0.288096578536229</v>
      </c>
      <c r="Q778">
        <v>0.72873322815138097</v>
      </c>
      <c r="R778">
        <v>0.52370336693434105</v>
      </c>
      <c r="S778" t="s">
        <v>2652</v>
      </c>
      <c r="T778" t="s">
        <v>3746</v>
      </c>
      <c r="U778" t="s">
        <v>3746</v>
      </c>
      <c r="V778" t="s">
        <v>3746</v>
      </c>
      <c r="W778" t="s">
        <v>4515</v>
      </c>
      <c r="X778">
        <v>1</v>
      </c>
      <c r="Z778" t="s">
        <v>8166</v>
      </c>
      <c r="AA778">
        <v>0.89923151391582168</v>
      </c>
      <c r="AB778" t="str">
        <f>HYPERLINK("Melting_Curves/meltCurve_P01612_.pdf", "Melting_Curves/meltCurve_P01612_.pdf")</f>
        <v>Melting_Curves/meltCurve_P01612_.pdf</v>
      </c>
    </row>
    <row r="779" spans="1:28" x14ac:dyDescent="0.25">
      <c r="A779" t="s">
        <v>783</v>
      </c>
      <c r="B779">
        <v>1</v>
      </c>
      <c r="C779">
        <v>0.93036208289470501</v>
      </c>
      <c r="D779">
        <v>1.2693710676426699</v>
      </c>
      <c r="E779">
        <v>1.30352290253874</v>
      </c>
      <c r="F779">
        <v>1.05966166425931</v>
      </c>
      <c r="G779">
        <v>1.2868754131270399</v>
      </c>
      <c r="H779">
        <v>0.53876661688740901</v>
      </c>
      <c r="I779">
        <v>0.971454451979338</v>
      </c>
      <c r="J779">
        <v>0.914240947927632</v>
      </c>
      <c r="K779">
        <v>0.85277988591573395</v>
      </c>
      <c r="L779">
        <v>2627.6491861875602</v>
      </c>
      <c r="M779">
        <v>44.513239451336602</v>
      </c>
      <c r="O779">
        <v>58.911965129832197</v>
      </c>
      <c r="P779">
        <v>-3.06442725052503E-2</v>
      </c>
      <c r="Q779">
        <v>0.83777304060956403</v>
      </c>
      <c r="R779">
        <v>0.18678986616556001</v>
      </c>
      <c r="S779" t="s">
        <v>2653</v>
      </c>
      <c r="T779" t="s">
        <v>3746</v>
      </c>
      <c r="U779" t="s">
        <v>3746</v>
      </c>
      <c r="V779" t="s">
        <v>3746</v>
      </c>
      <c r="W779" t="s">
        <v>4516</v>
      </c>
      <c r="X779">
        <v>2</v>
      </c>
      <c r="Z779" t="s">
        <v>8167</v>
      </c>
      <c r="AA779">
        <v>0.94120677021454857</v>
      </c>
      <c r="AB779" t="str">
        <f>HYPERLINK("Melting_Curves/meltCurve_P01613_.pdf", "Melting_Curves/meltCurve_P01613_.pdf")</f>
        <v>Melting_Curves/meltCurve_P01613_.pdf</v>
      </c>
    </row>
    <row r="780" spans="1:28" x14ac:dyDescent="0.25">
      <c r="A780" t="s">
        <v>784</v>
      </c>
      <c r="B780">
        <v>1</v>
      </c>
      <c r="C780">
        <v>0.73520332841229397</v>
      </c>
      <c r="D780">
        <v>1.66256207220507</v>
      </c>
      <c r="E780">
        <v>1.140484498725</v>
      </c>
      <c r="F780">
        <v>0.57371493759226999</v>
      </c>
      <c r="G780">
        <v>0.60767011139444405</v>
      </c>
      <c r="H780">
        <v>1.43574687961347</v>
      </c>
      <c r="I780">
        <v>0.61696416588377401</v>
      </c>
      <c r="J780">
        <v>1.04549724869145</v>
      </c>
      <c r="K780">
        <v>0.97265467722453403</v>
      </c>
      <c r="S780" t="s">
        <v>2654</v>
      </c>
      <c r="T780" t="s">
        <v>3746</v>
      </c>
      <c r="U780" t="s">
        <v>3747</v>
      </c>
      <c r="V780" t="s">
        <v>3746</v>
      </c>
      <c r="W780" t="s">
        <v>4517</v>
      </c>
      <c r="X780">
        <v>3</v>
      </c>
      <c r="Z780" t="s">
        <v>8168</v>
      </c>
      <c r="AB780" t="str">
        <f>HYPERLINK("Melting_Curves/meltCurve_P01617_.pdf", "Melting_Curves/meltCurve_P01617_.pdf")</f>
        <v>Melting_Curves/meltCurve_P01617_.pdf</v>
      </c>
    </row>
    <row r="781" spans="1:28" x14ac:dyDescent="0.25">
      <c r="A781" t="s">
        <v>785</v>
      </c>
      <c r="B781">
        <v>1</v>
      </c>
      <c r="C781">
        <v>0.967493196250378</v>
      </c>
      <c r="D781">
        <v>1.34922134865437</v>
      </c>
      <c r="E781">
        <v>1.5327713940126999</v>
      </c>
      <c r="F781">
        <v>1.1412534018748099</v>
      </c>
      <c r="G781">
        <v>1.3874357423646799</v>
      </c>
      <c r="H781">
        <v>0.56970063501663104</v>
      </c>
      <c r="I781">
        <v>1.0484956153613501</v>
      </c>
      <c r="J781">
        <v>1.0415784699123101</v>
      </c>
      <c r="K781">
        <v>0.98737526459026304</v>
      </c>
      <c r="L781">
        <v>11058.0738038339</v>
      </c>
      <c r="M781">
        <v>250</v>
      </c>
      <c r="O781">
        <v>44.229468936429697</v>
      </c>
      <c r="P781">
        <v>0.18684739127595501</v>
      </c>
      <c r="Q781">
        <v>1.1322265612381399</v>
      </c>
      <c r="R781">
        <v>5.2541080812910403E-2</v>
      </c>
      <c r="S781" t="s">
        <v>2655</v>
      </c>
      <c r="T781" t="s">
        <v>3746</v>
      </c>
      <c r="U781" t="s">
        <v>3746</v>
      </c>
      <c r="V781" t="s">
        <v>3746</v>
      </c>
      <c r="W781" t="s">
        <v>4518</v>
      </c>
      <c r="X781">
        <v>2</v>
      </c>
      <c r="Z781" t="s">
        <v>8169</v>
      </c>
      <c r="AA781">
        <v>1.1135622354726149</v>
      </c>
      <c r="AB781" t="str">
        <f>HYPERLINK("Melting_Curves/meltCurve_P01619_.pdf", "Melting_Curves/meltCurve_P01619_.pdf")</f>
        <v>Melting_Curves/meltCurve_P01619_.pdf</v>
      </c>
    </row>
    <row r="782" spans="1:28" x14ac:dyDescent="0.25">
      <c r="A782" t="s">
        <v>786</v>
      </c>
      <c r="B782">
        <v>1</v>
      </c>
      <c r="C782">
        <v>0.76249601113979903</v>
      </c>
      <c r="D782">
        <v>1.1505613414174201</v>
      </c>
      <c r="E782">
        <v>1.25070348989005</v>
      </c>
      <c r="F782">
        <v>0.71384642162977596</v>
      </c>
      <c r="G782">
        <v>0.86669954454469</v>
      </c>
      <c r="H782">
        <v>0.361376229294189</v>
      </c>
      <c r="I782">
        <v>0.62353862667169502</v>
      </c>
      <c r="J782">
        <v>0.62292941893185605</v>
      </c>
      <c r="K782">
        <v>0.63299585158539096</v>
      </c>
      <c r="L782">
        <v>1591.24430928262</v>
      </c>
      <c r="M782">
        <v>28.764383294056898</v>
      </c>
      <c r="O782">
        <v>55.054635671406899</v>
      </c>
      <c r="P782">
        <v>-5.5497939810676702E-2</v>
      </c>
      <c r="Q782">
        <v>0.57511402057574101</v>
      </c>
      <c r="R782">
        <v>0.57555321244894397</v>
      </c>
      <c r="S782" t="s">
        <v>2656</v>
      </c>
      <c r="T782" t="s">
        <v>3746</v>
      </c>
      <c r="U782" t="s">
        <v>3746</v>
      </c>
      <c r="V782" t="s">
        <v>3746</v>
      </c>
      <c r="W782" t="s">
        <v>4519</v>
      </c>
      <c r="X782">
        <v>6</v>
      </c>
      <c r="Z782" t="s">
        <v>8170</v>
      </c>
      <c r="AA782">
        <v>0.79514288643266584</v>
      </c>
      <c r="AB782" t="str">
        <f>HYPERLINK("Melting_Curves/meltCurve_P01620_.pdf", "Melting_Curves/meltCurve_P01620_.pdf")</f>
        <v>Melting_Curves/meltCurve_P01620_.pdf</v>
      </c>
    </row>
    <row r="783" spans="1:28" x14ac:dyDescent="0.25">
      <c r="A783" t="s">
        <v>787</v>
      </c>
      <c r="B783">
        <v>1</v>
      </c>
      <c r="C783">
        <v>1.0631031538640701</v>
      </c>
      <c r="D783">
        <v>1.34845152777418</v>
      </c>
      <c r="E783">
        <v>1.46803446223901</v>
      </c>
      <c r="F783">
        <v>1.1162971203849801</v>
      </c>
      <c r="G783">
        <v>1.24364182039275</v>
      </c>
      <c r="H783">
        <v>0.67912861245504597</v>
      </c>
      <c r="I783">
        <v>1.04364699490311</v>
      </c>
      <c r="J783">
        <v>0.998887480272179</v>
      </c>
      <c r="K783">
        <v>0.90579803886057297</v>
      </c>
      <c r="L783">
        <v>1060.74730862253</v>
      </c>
      <c r="M783">
        <v>12.7208060451311</v>
      </c>
      <c r="Q783">
        <v>0</v>
      </c>
      <c r="R783">
        <v>-0.1453980023774</v>
      </c>
      <c r="S783" t="s">
        <v>2657</v>
      </c>
      <c r="T783" t="s">
        <v>3746</v>
      </c>
      <c r="U783" t="s">
        <v>3746</v>
      </c>
      <c r="V783" t="s">
        <v>3746</v>
      </c>
      <c r="W783" t="s">
        <v>4520</v>
      </c>
      <c r="X783">
        <v>4</v>
      </c>
      <c r="Z783" t="s">
        <v>8171</v>
      </c>
      <c r="AA783">
        <v>0.98850954892904686</v>
      </c>
      <c r="AB783" t="str">
        <f>HYPERLINK("Melting_Curves/meltCurve_P01621_.pdf", "Melting_Curves/meltCurve_P01621_.pdf")</f>
        <v>Melting_Curves/meltCurve_P01621_.pdf</v>
      </c>
    </row>
    <row r="784" spans="1:28" x14ac:dyDescent="0.25">
      <c r="A784" t="s">
        <v>788</v>
      </c>
      <c r="B784">
        <v>1</v>
      </c>
      <c r="C784">
        <v>0.97979521935577896</v>
      </c>
      <c r="D784">
        <v>1.44793033085556</v>
      </c>
      <c r="E784">
        <v>1.4052251858329701</v>
      </c>
      <c r="F784">
        <v>1.00672278093572</v>
      </c>
      <c r="G784">
        <v>1.17572146917359</v>
      </c>
      <c r="H784">
        <v>0.60628917067482901</v>
      </c>
      <c r="I784">
        <v>1.0214983238594999</v>
      </c>
      <c r="J784">
        <v>0.95503570908030899</v>
      </c>
      <c r="K784">
        <v>0.91158358839819298</v>
      </c>
      <c r="L784">
        <v>2367.3788305534099</v>
      </c>
      <c r="M784">
        <v>40.375754709309597</v>
      </c>
      <c r="O784">
        <v>58.490391609462101</v>
      </c>
      <c r="P784">
        <v>-1.86693173574781E-2</v>
      </c>
      <c r="Q784">
        <v>0.89181888998209002</v>
      </c>
      <c r="R784">
        <v>3.1184191449255001E-2</v>
      </c>
      <c r="S784" t="s">
        <v>2658</v>
      </c>
      <c r="T784" t="s">
        <v>3746</v>
      </c>
      <c r="U784" t="s">
        <v>3746</v>
      </c>
      <c r="V784" t="s">
        <v>3746</v>
      </c>
      <c r="W784" t="s">
        <v>4521</v>
      </c>
      <c r="X784">
        <v>7</v>
      </c>
      <c r="Z784" t="s">
        <v>8172</v>
      </c>
      <c r="AA784">
        <v>0.95943169483105528</v>
      </c>
      <c r="AB784" t="str">
        <f>HYPERLINK("Melting_Curves/meltCurve_P01623_.pdf", "Melting_Curves/meltCurve_P01623_.pdf")</f>
        <v>Melting_Curves/meltCurve_P01623_.pdf</v>
      </c>
    </row>
    <row r="785" spans="1:28" x14ac:dyDescent="0.25">
      <c r="A785" t="s">
        <v>789</v>
      </c>
      <c r="B785">
        <v>1</v>
      </c>
      <c r="C785">
        <v>1.02959150232298</v>
      </c>
      <c r="D785">
        <v>1.3347020608023401</v>
      </c>
      <c r="E785">
        <v>1.54596803732192</v>
      </c>
      <c r="F785">
        <v>1.11842384284695</v>
      </c>
      <c r="G785">
        <v>1.3066720644651399</v>
      </c>
      <c r="H785">
        <v>0.61496346847107397</v>
      </c>
      <c r="I785">
        <v>1.0341603531702399</v>
      </c>
      <c r="J785">
        <v>0.82657644632082194</v>
      </c>
      <c r="K785">
        <v>0.84145894781485497</v>
      </c>
      <c r="L785">
        <v>2240.0598454652099</v>
      </c>
      <c r="M785">
        <v>37.610192647520698</v>
      </c>
      <c r="O785">
        <v>59.392280106327298</v>
      </c>
      <c r="P785">
        <v>-2.4632584876355001E-2</v>
      </c>
      <c r="Q785">
        <v>0.84440584818134101</v>
      </c>
      <c r="R785">
        <v>5.5935719795899799E-2</v>
      </c>
      <c r="S785" t="s">
        <v>2659</v>
      </c>
      <c r="T785" t="s">
        <v>3746</v>
      </c>
      <c r="U785" t="s">
        <v>3746</v>
      </c>
      <c r="V785" t="s">
        <v>3746</v>
      </c>
      <c r="W785" t="s">
        <v>4522</v>
      </c>
      <c r="X785">
        <v>3</v>
      </c>
      <c r="Z785" t="s">
        <v>8173</v>
      </c>
      <c r="AA785">
        <v>0.94653405257184464</v>
      </c>
      <c r="AB785" t="str">
        <f>HYPERLINK("Melting_Curves/meltCurve_P01624_.pdf", "Melting_Curves/meltCurve_P01624_.pdf")</f>
        <v>Melting_Curves/meltCurve_P01624_.pdf</v>
      </c>
    </row>
    <row r="786" spans="1:28" x14ac:dyDescent="0.25">
      <c r="A786" t="s">
        <v>790</v>
      </c>
      <c r="B786">
        <v>1</v>
      </c>
      <c r="C786">
        <v>0.92904785216007801</v>
      </c>
      <c r="D786">
        <v>1.1648207073797601</v>
      </c>
      <c r="E786">
        <v>1.1915310243544199</v>
      </c>
      <c r="F786">
        <v>0.90695753273773105</v>
      </c>
      <c r="G786">
        <v>1.1084934524537999</v>
      </c>
      <c r="H786">
        <v>0.45049565536654002</v>
      </c>
      <c r="I786">
        <v>0.84766246481458796</v>
      </c>
      <c r="J786">
        <v>0.79482315506057999</v>
      </c>
      <c r="K786">
        <v>0.70780810182352205</v>
      </c>
      <c r="L786">
        <v>4856.3322228295001</v>
      </c>
      <c r="M786">
        <v>82.770634196192702</v>
      </c>
      <c r="O786">
        <v>58.637942413327004</v>
      </c>
      <c r="P786">
        <v>-0.10501187183903</v>
      </c>
      <c r="Q786">
        <v>0.70242203350416599</v>
      </c>
      <c r="R786">
        <v>0.57849578917314304</v>
      </c>
      <c r="S786" t="s">
        <v>2660</v>
      </c>
      <c r="T786" t="s">
        <v>3746</v>
      </c>
      <c r="U786" t="s">
        <v>3746</v>
      </c>
      <c r="V786" t="s">
        <v>3746</v>
      </c>
      <c r="W786" t="s">
        <v>4523</v>
      </c>
      <c r="X786">
        <v>3</v>
      </c>
      <c r="Z786" t="s">
        <v>8174</v>
      </c>
      <c r="AA786">
        <v>0.88791620852783626</v>
      </c>
      <c r="AB786" t="str">
        <f>HYPERLINK("Melting_Curves/meltCurve_P01625_.pdf", "Melting_Curves/meltCurve_P01625_.pdf")</f>
        <v>Melting_Curves/meltCurve_P01625_.pdf</v>
      </c>
    </row>
    <row r="787" spans="1:28" x14ac:dyDescent="0.25">
      <c r="A787" t="s">
        <v>791</v>
      </c>
      <c r="B787">
        <v>1</v>
      </c>
      <c r="C787">
        <v>1.0503980830177</v>
      </c>
      <c r="D787">
        <v>1.40596738038185</v>
      </c>
      <c r="E787">
        <v>1.6401020329288101</v>
      </c>
      <c r="F787">
        <v>1.13194712839144</v>
      </c>
      <c r="G787">
        <v>1.3084177166267299</v>
      </c>
      <c r="H787">
        <v>0.67639329056195396</v>
      </c>
      <c r="I787">
        <v>1.1109994589162899</v>
      </c>
      <c r="J787">
        <v>1.07088196645281</v>
      </c>
      <c r="K787">
        <v>1.0398083017701201</v>
      </c>
      <c r="L787">
        <v>10763.1601284674</v>
      </c>
      <c r="M787">
        <v>250</v>
      </c>
      <c r="O787">
        <v>43.0498855634048</v>
      </c>
      <c r="P787">
        <v>0.25125597486977003</v>
      </c>
      <c r="Q787">
        <v>1.1730646547068699</v>
      </c>
      <c r="R787">
        <v>5.96886332071472E-2</v>
      </c>
      <c r="S787" t="s">
        <v>2661</v>
      </c>
      <c r="T787" t="s">
        <v>3746</v>
      </c>
      <c r="U787" t="s">
        <v>3746</v>
      </c>
      <c r="V787" t="s">
        <v>3746</v>
      </c>
      <c r="W787" t="s">
        <v>4524</v>
      </c>
      <c r="X787">
        <v>1</v>
      </c>
      <c r="Z787" t="s">
        <v>8175</v>
      </c>
      <c r="AA787">
        <v>1.155441439289933</v>
      </c>
      <c r="AB787" t="str">
        <f>HYPERLINK("Melting_Curves/meltCurve_P01699_.pdf", "Melting_Curves/meltCurve_P01699_.pdf")</f>
        <v>Melting_Curves/meltCurve_P01699_.pdf</v>
      </c>
    </row>
    <row r="788" spans="1:28" x14ac:dyDescent="0.25">
      <c r="A788" t="s">
        <v>792</v>
      </c>
      <c r="B788">
        <v>1</v>
      </c>
      <c r="C788">
        <v>0.94511193707321295</v>
      </c>
      <c r="D788">
        <v>1.62503241421039</v>
      </c>
      <c r="E788">
        <v>1.80503932924194</v>
      </c>
      <c r="F788">
        <v>1.3314893249200499</v>
      </c>
      <c r="G788">
        <v>1.70438240124471</v>
      </c>
      <c r="H788">
        <v>0.87479471000086395</v>
      </c>
      <c r="I788">
        <v>1.3400898954101499</v>
      </c>
      <c r="J788">
        <v>1.25710951681217</v>
      </c>
      <c r="K788">
        <v>1.2186446538162301</v>
      </c>
      <c r="L788">
        <v>11068.7151596899</v>
      </c>
      <c r="M788">
        <v>250</v>
      </c>
      <c r="O788">
        <v>44.272026554056502</v>
      </c>
      <c r="P788">
        <v>0.55702868810658701</v>
      </c>
      <c r="Q788">
        <v>1.39457262849582</v>
      </c>
      <c r="R788">
        <v>0.304425120162441</v>
      </c>
      <c r="S788" t="s">
        <v>2662</v>
      </c>
      <c r="T788" t="s">
        <v>3746</v>
      </c>
      <c r="U788" t="s">
        <v>3746</v>
      </c>
      <c r="V788" t="s">
        <v>3746</v>
      </c>
      <c r="W788" t="s">
        <v>4525</v>
      </c>
      <c r="X788">
        <v>3</v>
      </c>
      <c r="Z788" t="s">
        <v>8176</v>
      </c>
      <c r="AA788">
        <v>1.338317202912263</v>
      </c>
      <c r="AB788" t="str">
        <f>HYPERLINK("Melting_Curves/meltCurve_P01700_.pdf", "Melting_Curves/meltCurve_P01700_.pdf")</f>
        <v>Melting_Curves/meltCurve_P01700_.pdf</v>
      </c>
    </row>
    <row r="789" spans="1:28" x14ac:dyDescent="0.25">
      <c r="A789" t="s">
        <v>793</v>
      </c>
      <c r="B789">
        <v>1</v>
      </c>
      <c r="C789">
        <v>0.91300320352001196</v>
      </c>
      <c r="D789">
        <v>1.2699448068238799</v>
      </c>
      <c r="E789">
        <v>1.40364352155622</v>
      </c>
      <c r="F789">
        <v>0.84067312516885995</v>
      </c>
      <c r="G789">
        <v>1.0963757767571101</v>
      </c>
      <c r="H789">
        <v>0.60932494499980705</v>
      </c>
      <c r="I789">
        <v>1.0176000617545999</v>
      </c>
      <c r="J789">
        <v>0.99652630360106498</v>
      </c>
      <c r="K789">
        <v>1.02782816781813</v>
      </c>
      <c r="L789">
        <v>2969.6737635148502</v>
      </c>
      <c r="M789">
        <v>51.106746502416499</v>
      </c>
      <c r="O789">
        <v>58.018513376727498</v>
      </c>
      <c r="P789">
        <v>-1.6436052538897301E-2</v>
      </c>
      <c r="Q789">
        <v>0.92536448541588101</v>
      </c>
      <c r="R789">
        <v>4.3929230475834698E-2</v>
      </c>
      <c r="S789" t="s">
        <v>2663</v>
      </c>
      <c r="T789" t="s">
        <v>3746</v>
      </c>
      <c r="U789" t="s">
        <v>3746</v>
      </c>
      <c r="V789" t="s">
        <v>3746</v>
      </c>
      <c r="W789" t="s">
        <v>4526</v>
      </c>
      <c r="X789">
        <v>3</v>
      </c>
      <c r="Z789" t="s">
        <v>8177</v>
      </c>
      <c r="AA789">
        <v>0.97059500802064236</v>
      </c>
      <c r="AB789" t="str">
        <f>HYPERLINK("Melting_Curves/meltCurve_P01701_.pdf", "Melting_Curves/meltCurve_P01701_.pdf")</f>
        <v>Melting_Curves/meltCurve_P01701_.pdf</v>
      </c>
    </row>
    <row r="790" spans="1:28" x14ac:dyDescent="0.25">
      <c r="A790" t="s">
        <v>794</v>
      </c>
      <c r="B790">
        <v>1</v>
      </c>
      <c r="C790">
        <v>1.1462607544672401</v>
      </c>
      <c r="D790">
        <v>1.55423861380182</v>
      </c>
      <c r="E790">
        <v>1.8147524216352799</v>
      </c>
      <c r="F790">
        <v>1.3123759099933801</v>
      </c>
      <c r="G790">
        <v>1.4620660610071601</v>
      </c>
      <c r="H790">
        <v>0.87888815354070104</v>
      </c>
      <c r="I790">
        <v>1.29222068467601</v>
      </c>
      <c r="J790">
        <v>1.2656879850791201</v>
      </c>
      <c r="K790">
        <v>1.17965224715721</v>
      </c>
      <c r="L790">
        <v>10738.1500440611</v>
      </c>
      <c r="M790">
        <v>250</v>
      </c>
      <c r="O790">
        <v>42.9498514505622</v>
      </c>
      <c r="P790">
        <v>0.50201753661311799</v>
      </c>
      <c r="Q790">
        <v>1.34498525792019</v>
      </c>
      <c r="R790">
        <v>0.19482765708705199</v>
      </c>
      <c r="S790" t="s">
        <v>2664</v>
      </c>
      <c r="T790" t="s">
        <v>3746</v>
      </c>
      <c r="U790" t="s">
        <v>3746</v>
      </c>
      <c r="V790" t="s">
        <v>3746</v>
      </c>
      <c r="W790" t="s">
        <v>4527</v>
      </c>
      <c r="X790">
        <v>4</v>
      </c>
      <c r="Z790" t="s">
        <v>8178</v>
      </c>
      <c r="AA790">
        <v>1.311005801408818</v>
      </c>
      <c r="AB790" t="str">
        <f>HYPERLINK("Melting_Curves/meltCurve_P01702_.pdf", "Melting_Curves/meltCurve_P01702_.pdf")</f>
        <v>Melting_Curves/meltCurve_P01702_.pdf</v>
      </c>
    </row>
    <row r="791" spans="1:28" x14ac:dyDescent="0.25">
      <c r="A791" t="s">
        <v>795</v>
      </c>
      <c r="B791">
        <v>1</v>
      </c>
      <c r="C791">
        <v>1.0937762365395101</v>
      </c>
      <c r="D791">
        <v>1.9414856725679901</v>
      </c>
      <c r="E791">
        <v>1.94338382916591</v>
      </c>
      <c r="F791">
        <v>1.3535316663624699</v>
      </c>
      <c r="G791">
        <v>2.1988319036320498</v>
      </c>
      <c r="H791">
        <v>0.95860558496075898</v>
      </c>
      <c r="I791">
        <v>1.56645373243293</v>
      </c>
      <c r="J791">
        <v>1.2194196021171699</v>
      </c>
      <c r="K791">
        <v>1.3607227596276701</v>
      </c>
      <c r="L791">
        <v>10787.8907977198</v>
      </c>
      <c r="M791">
        <v>250</v>
      </c>
      <c r="O791">
        <v>43.148802157245598</v>
      </c>
      <c r="P791">
        <v>0.72423795678173697</v>
      </c>
      <c r="Q791">
        <v>1.5</v>
      </c>
      <c r="R791">
        <v>0.23651725768387599</v>
      </c>
      <c r="S791" t="s">
        <v>2665</v>
      </c>
      <c r="T791" t="s">
        <v>3746</v>
      </c>
      <c r="U791" t="s">
        <v>3746</v>
      </c>
      <c r="V791" t="s">
        <v>3746</v>
      </c>
      <c r="W791" t="s">
        <v>4528</v>
      </c>
      <c r="X791">
        <v>2</v>
      </c>
      <c r="Z791" t="s">
        <v>8179</v>
      </c>
      <c r="AA791">
        <v>1.4474360816509271</v>
      </c>
      <c r="AB791" t="str">
        <f>HYPERLINK("Melting_Curves/meltCurve_P01703_.pdf", "Melting_Curves/meltCurve_P01703_.pdf")</f>
        <v>Melting_Curves/meltCurve_P01703_.pdf</v>
      </c>
    </row>
    <row r="792" spans="1:28" x14ac:dyDescent="0.25">
      <c r="A792" t="s">
        <v>796</v>
      </c>
      <c r="B792">
        <v>1</v>
      </c>
      <c r="C792">
        <v>0.98202022724435001</v>
      </c>
      <c r="D792">
        <v>1.36808590335872</v>
      </c>
      <c r="E792">
        <v>1.4232946268780999</v>
      </c>
      <c r="F792">
        <v>0.99781495817205601</v>
      </c>
      <c r="G792">
        <v>1.20391642735256</v>
      </c>
      <c r="H792">
        <v>0.59058559120988896</v>
      </c>
      <c r="I792">
        <v>0.90939359886794002</v>
      </c>
      <c r="J792">
        <v>0.88866691638573303</v>
      </c>
      <c r="K792">
        <v>0.921317684271861</v>
      </c>
      <c r="L792">
        <v>3100.97680240614</v>
      </c>
      <c r="M792">
        <v>52.716770980318501</v>
      </c>
      <c r="O792">
        <v>58.738880099921502</v>
      </c>
      <c r="P792">
        <v>-3.6090963383716201E-2</v>
      </c>
      <c r="Q792">
        <v>0.83914482618769004</v>
      </c>
      <c r="R792">
        <v>0.163547335580283</v>
      </c>
      <c r="S792" t="s">
        <v>2666</v>
      </c>
      <c r="T792" t="s">
        <v>3746</v>
      </c>
      <c r="U792" t="s">
        <v>3746</v>
      </c>
      <c r="V792" t="s">
        <v>3746</v>
      </c>
      <c r="W792" t="s">
        <v>4529</v>
      </c>
      <c r="X792">
        <v>3</v>
      </c>
      <c r="Z792" t="s">
        <v>8180</v>
      </c>
      <c r="AA792">
        <v>0.94044586191891333</v>
      </c>
      <c r="AB792" t="str">
        <f>HYPERLINK("Melting_Curves/meltCurve_P01714_.pdf", "Melting_Curves/meltCurve_P01714_.pdf")</f>
        <v>Melting_Curves/meltCurve_P01714_.pdf</v>
      </c>
    </row>
    <row r="793" spans="1:28" x14ac:dyDescent="0.25">
      <c r="A793" t="s">
        <v>797</v>
      </c>
      <c r="B793">
        <v>1</v>
      </c>
      <c r="C793">
        <v>1.0241502988898401</v>
      </c>
      <c r="D793">
        <v>1.5712382578992301</v>
      </c>
      <c r="E793">
        <v>1.6507258753202401</v>
      </c>
      <c r="F793">
        <v>1.0931853116993999</v>
      </c>
      <c r="G793">
        <v>1.3389581554227199</v>
      </c>
      <c r="H793">
        <v>0.597198975234842</v>
      </c>
      <c r="I793">
        <v>1.2140734415029899</v>
      </c>
      <c r="J793">
        <v>0.97830913748932502</v>
      </c>
      <c r="K793">
        <v>0.95197267292912002</v>
      </c>
      <c r="L793">
        <v>15000</v>
      </c>
      <c r="M793">
        <v>223.68457620188499</v>
      </c>
      <c r="O793">
        <v>67.053348955750394</v>
      </c>
      <c r="P793">
        <v>-4.0060480313919199E-2</v>
      </c>
      <c r="Q793">
        <v>0.95196468895739295</v>
      </c>
      <c r="R793">
        <v>-0.22510616769467201</v>
      </c>
      <c r="S793" t="s">
        <v>2667</v>
      </c>
      <c r="T793" t="s">
        <v>3746</v>
      </c>
      <c r="U793" t="s">
        <v>3746</v>
      </c>
      <c r="V793" t="s">
        <v>3746</v>
      </c>
      <c r="W793" t="s">
        <v>4530</v>
      </c>
      <c r="X793">
        <v>1</v>
      </c>
      <c r="Z793" t="s">
        <v>8181</v>
      </c>
      <c r="AA793">
        <v>0.99529749841258541</v>
      </c>
      <c r="AB793" t="str">
        <f>HYPERLINK("Melting_Curves/meltCurve_P01717_.pdf", "Melting_Curves/meltCurve_P01717_.pdf")</f>
        <v>Melting_Curves/meltCurve_P01717_.pdf</v>
      </c>
    </row>
    <row r="794" spans="1:28" x14ac:dyDescent="0.25">
      <c r="A794" t="s">
        <v>798</v>
      </c>
      <c r="B794">
        <v>1</v>
      </c>
      <c r="C794">
        <v>0.94950187127721297</v>
      </c>
      <c r="D794">
        <v>1.2965227628134199</v>
      </c>
      <c r="E794">
        <v>1.0591780436807099</v>
      </c>
      <c r="F794">
        <v>0.78228172825189302</v>
      </c>
      <c r="G794">
        <v>1.1788870732521599</v>
      </c>
      <c r="H794">
        <v>0.30416600776623998</v>
      </c>
      <c r="I794">
        <v>0.79400137051288799</v>
      </c>
      <c r="J794">
        <v>0.64951768488745998</v>
      </c>
      <c r="K794">
        <v>0.75970340695447403</v>
      </c>
      <c r="L794">
        <v>5098.1084304406904</v>
      </c>
      <c r="M794">
        <v>86.757264954860503</v>
      </c>
      <c r="O794">
        <v>58.731699522752997</v>
      </c>
      <c r="P794">
        <v>-0.13677347994099501</v>
      </c>
      <c r="Q794">
        <v>0.62963617939985905</v>
      </c>
      <c r="R794">
        <v>0.53110896614792102</v>
      </c>
      <c r="S794" t="s">
        <v>2668</v>
      </c>
      <c r="T794" t="s">
        <v>3746</v>
      </c>
      <c r="U794" t="s">
        <v>3746</v>
      </c>
      <c r="V794" t="s">
        <v>3746</v>
      </c>
      <c r="W794" t="s">
        <v>4531</v>
      </c>
      <c r="X794">
        <v>2</v>
      </c>
      <c r="Z794" t="s">
        <v>8182</v>
      </c>
      <c r="AA794">
        <v>0.86159047576267822</v>
      </c>
      <c r="AB794" t="str">
        <f>HYPERLINK("Melting_Curves/meltCurve_P01742_.pdf", "Melting_Curves/meltCurve_P01742_.pdf")</f>
        <v>Melting_Curves/meltCurve_P01742_.pdf</v>
      </c>
    </row>
    <row r="795" spans="1:28" x14ac:dyDescent="0.25">
      <c r="A795" t="s">
        <v>799</v>
      </c>
      <c r="B795">
        <v>1</v>
      </c>
      <c r="C795">
        <v>0.99990594431903701</v>
      </c>
      <c r="D795">
        <v>1.4446952595936799</v>
      </c>
      <c r="E795">
        <v>1.43002257336343</v>
      </c>
      <c r="F795">
        <v>0.99924755455229497</v>
      </c>
      <c r="G795">
        <v>1.3192249811888599</v>
      </c>
      <c r="H795">
        <v>0.50867193378480102</v>
      </c>
      <c r="I795">
        <v>1.09414973664409</v>
      </c>
      <c r="J795">
        <v>0.97752069224981197</v>
      </c>
      <c r="K795">
        <v>1.0147667419112101</v>
      </c>
      <c r="L795">
        <v>10956.6734890099</v>
      </c>
      <c r="M795">
        <v>250</v>
      </c>
      <c r="O795">
        <v>43.823898092876803</v>
      </c>
      <c r="P795">
        <v>0.140529663490401</v>
      </c>
      <c r="Q795">
        <v>1.0985369026907099</v>
      </c>
      <c r="R795">
        <v>2.3089490224373201E-2</v>
      </c>
      <c r="S795" t="s">
        <v>2669</v>
      </c>
      <c r="T795" t="s">
        <v>3746</v>
      </c>
      <c r="U795" t="s">
        <v>3746</v>
      </c>
      <c r="V795" t="s">
        <v>3746</v>
      </c>
      <c r="W795" t="s">
        <v>4532</v>
      </c>
      <c r="X795">
        <v>3</v>
      </c>
      <c r="Z795" t="s">
        <v>8183</v>
      </c>
      <c r="AA795">
        <v>1.08596030470937</v>
      </c>
      <c r="AB795" t="str">
        <f>HYPERLINK("Melting_Curves/meltCurve_P01743_.pdf", "Melting_Curves/meltCurve_P01743_.pdf")</f>
        <v>Melting_Curves/meltCurve_P01743_.pdf</v>
      </c>
    </row>
    <row r="796" spans="1:28" x14ac:dyDescent="0.25">
      <c r="A796" t="s">
        <v>800</v>
      </c>
      <c r="B796">
        <v>1</v>
      </c>
      <c r="C796">
        <v>0.95333766157114996</v>
      </c>
      <c r="D796">
        <v>1.39987015286549</v>
      </c>
      <c r="E796">
        <v>1.44626099274036</v>
      </c>
      <c r="F796">
        <v>1.0623620374195799</v>
      </c>
      <c r="G796">
        <v>1.2598713332939899</v>
      </c>
      <c r="H796">
        <v>0.56063270967361201</v>
      </c>
      <c r="I796">
        <v>1.03165909225049</v>
      </c>
      <c r="J796">
        <v>1.0554919435755199</v>
      </c>
      <c r="K796">
        <v>0.93131086584430101</v>
      </c>
      <c r="L796">
        <v>11058.7519594079</v>
      </c>
      <c r="M796">
        <v>250</v>
      </c>
      <c r="O796">
        <v>44.232177451954897</v>
      </c>
      <c r="P796">
        <v>0.13187926605596501</v>
      </c>
      <c r="Q796">
        <v>1.09333291270281</v>
      </c>
      <c r="R796">
        <v>3.53920219829192E-2</v>
      </c>
      <c r="S796" t="s">
        <v>2670</v>
      </c>
      <c r="T796" t="s">
        <v>3746</v>
      </c>
      <c r="U796" t="s">
        <v>3746</v>
      </c>
      <c r="V796" t="s">
        <v>3746</v>
      </c>
      <c r="W796" t="s">
        <v>4533</v>
      </c>
      <c r="X796">
        <v>3</v>
      </c>
      <c r="Z796" t="s">
        <v>8184</v>
      </c>
      <c r="AA796">
        <v>1.0801501465452541</v>
      </c>
      <c r="AB796" t="str">
        <f>HYPERLINK("Melting_Curves/meltCurve_P01764_.pdf", "Melting_Curves/meltCurve_P01764_.pdf")</f>
        <v>Melting_Curves/meltCurve_P01764_.pdf</v>
      </c>
    </row>
    <row r="797" spans="1:28" x14ac:dyDescent="0.25">
      <c r="A797" t="s">
        <v>801</v>
      </c>
      <c r="B797">
        <v>1</v>
      </c>
      <c r="C797">
        <v>0.89161894351638404</v>
      </c>
      <c r="D797">
        <v>1.23812465841314</v>
      </c>
      <c r="E797">
        <v>1.2547109284033899</v>
      </c>
      <c r="F797">
        <v>0.87864458332343198</v>
      </c>
      <c r="G797">
        <v>1.0447924339994801</v>
      </c>
      <c r="H797">
        <v>0.592852220611648</v>
      </c>
      <c r="I797">
        <v>0.86605042416177602</v>
      </c>
      <c r="J797">
        <v>0.86336525437825296</v>
      </c>
      <c r="K797">
        <v>0.78870327685763897</v>
      </c>
      <c r="L797">
        <v>6222.1390592892403</v>
      </c>
      <c r="M797">
        <v>106.15124565953001</v>
      </c>
      <c r="O797">
        <v>58.594991742732702</v>
      </c>
      <c r="P797">
        <v>-0.100448880479496</v>
      </c>
      <c r="Q797">
        <v>0.77821074964380998</v>
      </c>
      <c r="R797">
        <v>0.44449977254072398</v>
      </c>
      <c r="S797" t="s">
        <v>2671</v>
      </c>
      <c r="T797" t="s">
        <v>3746</v>
      </c>
      <c r="U797" t="s">
        <v>3746</v>
      </c>
      <c r="V797" t="s">
        <v>3746</v>
      </c>
      <c r="W797" t="s">
        <v>4534</v>
      </c>
      <c r="X797">
        <v>3</v>
      </c>
      <c r="Z797" t="s">
        <v>8185</v>
      </c>
      <c r="AA797">
        <v>0.91596349170063007</v>
      </c>
      <c r="AB797" t="str">
        <f>HYPERLINK("Melting_Curves/meltCurve_P01765_.pdf", "Melting_Curves/meltCurve_P01765_.pdf")</f>
        <v>Melting_Curves/meltCurve_P01765_.pdf</v>
      </c>
    </row>
    <row r="798" spans="1:28" x14ac:dyDescent="0.25">
      <c r="A798" t="s">
        <v>802</v>
      </c>
      <c r="B798">
        <v>1</v>
      </c>
      <c r="C798">
        <v>0.919093708754949</v>
      </c>
      <c r="D798">
        <v>1.22710074791025</v>
      </c>
      <c r="E798">
        <v>1.2084909810822699</v>
      </c>
      <c r="F798">
        <v>0.87408710954685398</v>
      </c>
      <c r="G798">
        <v>0.98389793224813005</v>
      </c>
      <c r="H798">
        <v>0.49608446986361598</v>
      </c>
      <c r="I798">
        <v>0.84205895292564903</v>
      </c>
      <c r="J798">
        <v>0.83585569731632203</v>
      </c>
      <c r="K798">
        <v>0.76194456665200205</v>
      </c>
      <c r="L798">
        <v>14406.2886790845</v>
      </c>
      <c r="M798">
        <v>250</v>
      </c>
      <c r="O798">
        <v>57.621488941688703</v>
      </c>
      <c r="P798">
        <v>-0.28853615687808498</v>
      </c>
      <c r="Q798">
        <v>0.73398597303550195</v>
      </c>
      <c r="R798">
        <v>0.51710551486944101</v>
      </c>
      <c r="S798" t="s">
        <v>2672</v>
      </c>
      <c r="T798" t="s">
        <v>3746</v>
      </c>
      <c r="U798" t="s">
        <v>3746</v>
      </c>
      <c r="V798" t="s">
        <v>3746</v>
      </c>
      <c r="W798" t="s">
        <v>4535</v>
      </c>
      <c r="X798">
        <v>3</v>
      </c>
      <c r="Z798" t="s">
        <v>8186</v>
      </c>
      <c r="AA798">
        <v>0.89029748809866305</v>
      </c>
      <c r="AB798" t="str">
        <f>HYPERLINK("Melting_Curves/meltCurve_P01766_.pdf", "Melting_Curves/meltCurve_P01766_.pdf")</f>
        <v>Melting_Curves/meltCurve_P01766_.pdf</v>
      </c>
    </row>
    <row r="799" spans="1:28" x14ac:dyDescent="0.25">
      <c r="A799" t="s">
        <v>803</v>
      </c>
      <c r="B799">
        <v>1</v>
      </c>
      <c r="C799">
        <v>0.91364200166737797</v>
      </c>
      <c r="D799">
        <v>1.2636491185262</v>
      </c>
      <c r="E799">
        <v>1.2914862034608301</v>
      </c>
      <c r="F799">
        <v>0.99129709835498903</v>
      </c>
      <c r="G799">
        <v>1.2233880314768499</v>
      </c>
      <c r="H799">
        <v>0.52546818764106595</v>
      </c>
      <c r="I799">
        <v>1.0337339108155901</v>
      </c>
      <c r="J799">
        <v>0.87476361861770302</v>
      </c>
      <c r="K799">
        <v>0.86170926615018595</v>
      </c>
      <c r="L799">
        <v>2638.4691492460202</v>
      </c>
      <c r="M799">
        <v>44.917324217922797</v>
      </c>
      <c r="O799">
        <v>58.624474059916402</v>
      </c>
      <c r="P799">
        <v>-3.0367060948616E-2</v>
      </c>
      <c r="Q799">
        <v>0.84146417697577303</v>
      </c>
      <c r="R799">
        <v>0.19510677813003799</v>
      </c>
      <c r="S799" t="s">
        <v>2673</v>
      </c>
      <c r="T799" t="s">
        <v>3746</v>
      </c>
      <c r="U799" t="s">
        <v>3746</v>
      </c>
      <c r="V799" t="s">
        <v>3746</v>
      </c>
      <c r="W799" t="s">
        <v>4536</v>
      </c>
      <c r="X799">
        <v>2</v>
      </c>
      <c r="Z799" t="s">
        <v>8187</v>
      </c>
      <c r="AA799">
        <v>0.94100135697972087</v>
      </c>
      <c r="AB799" t="str">
        <f>HYPERLINK("Melting_Curves/meltCurve_P01767_.pdf", "Melting_Curves/meltCurve_P01767_.pdf")</f>
        <v>Melting_Curves/meltCurve_P01767_.pdf</v>
      </c>
    </row>
    <row r="800" spans="1:28" x14ac:dyDescent="0.25">
      <c r="A800" t="s">
        <v>804</v>
      </c>
      <c r="B800">
        <v>1</v>
      </c>
      <c r="C800">
        <v>0.97277441659464103</v>
      </c>
      <c r="D800">
        <v>1.2008562013828901</v>
      </c>
      <c r="E800">
        <v>1.0734928694900601</v>
      </c>
      <c r="F800">
        <v>0.84207541054451196</v>
      </c>
      <c r="G800">
        <v>0.80229040622299097</v>
      </c>
      <c r="H800">
        <v>0.37652603716508198</v>
      </c>
      <c r="I800">
        <v>0.73552290406222998</v>
      </c>
      <c r="J800">
        <v>0.93009939498703498</v>
      </c>
      <c r="K800">
        <v>0.85963159031979297</v>
      </c>
      <c r="L800">
        <v>13226.4462646631</v>
      </c>
      <c r="M800">
        <v>250</v>
      </c>
      <c r="O800">
        <v>52.902404892064901</v>
      </c>
      <c r="P800">
        <v>-0.306207693687086</v>
      </c>
      <c r="Q800">
        <v>0.74081405269567502</v>
      </c>
      <c r="R800">
        <v>0.48020948731526197</v>
      </c>
      <c r="S800" t="s">
        <v>2674</v>
      </c>
      <c r="T800" t="s">
        <v>3746</v>
      </c>
      <c r="U800" t="s">
        <v>3746</v>
      </c>
      <c r="V800" t="s">
        <v>3746</v>
      </c>
      <c r="W800" t="s">
        <v>4537</v>
      </c>
      <c r="X800">
        <v>1</v>
      </c>
      <c r="Z800" t="s">
        <v>8188</v>
      </c>
      <c r="AA800">
        <v>0.85233805534523577</v>
      </c>
      <c r="AB800" t="str">
        <f>HYPERLINK("Melting_Curves/meltCurve_P01771_.pdf", "Melting_Curves/meltCurve_P01771_.pdf")</f>
        <v>Melting_Curves/meltCurve_P01771_.pdf</v>
      </c>
    </row>
    <row r="801" spans="1:28" x14ac:dyDescent="0.25">
      <c r="A801" t="s">
        <v>805</v>
      </c>
      <c r="B801">
        <v>1</v>
      </c>
      <c r="C801">
        <v>0.94151561274848905</v>
      </c>
      <c r="D801">
        <v>1.3925095705917601</v>
      </c>
      <c r="E801">
        <v>1.5275586919422499</v>
      </c>
      <c r="F801">
        <v>1.3203957382039599</v>
      </c>
      <c r="G801">
        <v>1.4358655043586599</v>
      </c>
      <c r="H801">
        <v>0.72545085558784195</v>
      </c>
      <c r="I801">
        <v>1.2156265854896</v>
      </c>
      <c r="J801">
        <v>1.2202389188690601</v>
      </c>
      <c r="K801">
        <v>1.0636732623034</v>
      </c>
      <c r="L801">
        <v>11078.927988674301</v>
      </c>
      <c r="M801">
        <v>250</v>
      </c>
      <c r="O801">
        <v>44.312876055980297</v>
      </c>
      <c r="P801">
        <v>0.33520726344583501</v>
      </c>
      <c r="Q801">
        <v>1.23766396634243</v>
      </c>
      <c r="R801">
        <v>0.19929934885793901</v>
      </c>
      <c r="S801" t="s">
        <v>2675</v>
      </c>
      <c r="T801" t="s">
        <v>3746</v>
      </c>
      <c r="U801" t="s">
        <v>3746</v>
      </c>
      <c r="V801" t="s">
        <v>3746</v>
      </c>
      <c r="W801" t="s">
        <v>4538</v>
      </c>
      <c r="X801">
        <v>1</v>
      </c>
      <c r="Z801" t="s">
        <v>8189</v>
      </c>
      <c r="AA801">
        <v>1.2034558417198331</v>
      </c>
      <c r="AB801" t="str">
        <f>HYPERLINK("Melting_Curves/meltCurve_P01772_.pdf", "Melting_Curves/meltCurve_P01772_.pdf")</f>
        <v>Melting_Curves/meltCurve_P01772_.pdf</v>
      </c>
    </row>
    <row r="802" spans="1:28" x14ac:dyDescent="0.25">
      <c r="A802" t="s">
        <v>806</v>
      </c>
      <c r="B802">
        <v>1</v>
      </c>
      <c r="C802">
        <v>0.98234730747464205</v>
      </c>
      <c r="D802">
        <v>1.7650951199338301</v>
      </c>
      <c r="E802">
        <v>1.82375604022463</v>
      </c>
      <c r="F802">
        <v>1.11262026032824</v>
      </c>
      <c r="G802">
        <v>1.50733533585826</v>
      </c>
      <c r="H802">
        <v>0.65428148535109498</v>
      </c>
      <c r="I802">
        <v>1.2656392843150099</v>
      </c>
      <c r="J802">
        <v>1.02072177963519</v>
      </c>
      <c r="K802">
        <v>1.1366940925514799</v>
      </c>
      <c r="L802">
        <v>11027.536994644701</v>
      </c>
      <c r="M802">
        <v>250</v>
      </c>
      <c r="O802">
        <v>44.107325079433998</v>
      </c>
      <c r="P802">
        <v>0.40490201320449498</v>
      </c>
      <c r="Q802">
        <v>1.2857463161343201</v>
      </c>
      <c r="R802">
        <v>0.112849283175829</v>
      </c>
      <c r="S802" t="s">
        <v>2676</v>
      </c>
      <c r="T802" t="s">
        <v>3746</v>
      </c>
      <c r="U802" t="s">
        <v>3746</v>
      </c>
      <c r="V802" t="s">
        <v>3746</v>
      </c>
      <c r="W802" t="s">
        <v>4539</v>
      </c>
      <c r="X802">
        <v>1</v>
      </c>
      <c r="Z802" t="s">
        <v>8190</v>
      </c>
      <c r="AA802">
        <v>1.2465755409742101</v>
      </c>
      <c r="AB802" t="str">
        <f>HYPERLINK("Melting_Curves/meltCurve_P01778_.pdf", "Melting_Curves/meltCurve_P01778_.pdf")</f>
        <v>Melting_Curves/meltCurve_P01778_.pdf</v>
      </c>
    </row>
    <row r="803" spans="1:28" x14ac:dyDescent="0.25">
      <c r="A803" t="s">
        <v>807</v>
      </c>
      <c r="B803">
        <v>1</v>
      </c>
      <c r="C803">
        <v>0.91860567730548603</v>
      </c>
      <c r="D803">
        <v>1.0871304603618199</v>
      </c>
      <c r="E803">
        <v>1.18526253860862</v>
      </c>
      <c r="F803">
        <v>0.86086189145462599</v>
      </c>
      <c r="G803">
        <v>0.96667156934843401</v>
      </c>
      <c r="H803">
        <v>0.52175319899985295</v>
      </c>
      <c r="I803">
        <v>0.78096778938079103</v>
      </c>
      <c r="J803">
        <v>0.80888365936167095</v>
      </c>
      <c r="K803">
        <v>0.74881600235328705</v>
      </c>
      <c r="L803">
        <v>14365.212177494201</v>
      </c>
      <c r="M803">
        <v>250</v>
      </c>
      <c r="O803">
        <v>57.457171584871098</v>
      </c>
      <c r="P803">
        <v>-0.30989911242435503</v>
      </c>
      <c r="Q803">
        <v>0.715105176649795</v>
      </c>
      <c r="R803">
        <v>0.62598871557906299</v>
      </c>
      <c r="S803" t="s">
        <v>2677</v>
      </c>
      <c r="T803" t="s">
        <v>3746</v>
      </c>
      <c r="U803" t="s">
        <v>3746</v>
      </c>
      <c r="V803" t="s">
        <v>3746</v>
      </c>
      <c r="W803" t="s">
        <v>4540</v>
      </c>
      <c r="X803">
        <v>2</v>
      </c>
      <c r="Z803" t="s">
        <v>8191</v>
      </c>
      <c r="AA803">
        <v>0.88095075322772509</v>
      </c>
      <c r="AB803" t="str">
        <f>HYPERLINK("Melting_Curves/meltCurve_P01779_.pdf", "Melting_Curves/meltCurve_P01779_.pdf")</f>
        <v>Melting_Curves/meltCurve_P01779_.pdf</v>
      </c>
    </row>
    <row r="804" spans="1:28" x14ac:dyDescent="0.25">
      <c r="A804" t="s">
        <v>808</v>
      </c>
      <c r="B804">
        <v>1</v>
      </c>
      <c r="C804">
        <v>0.89651798561151097</v>
      </c>
      <c r="D804">
        <v>1.2351079136690599</v>
      </c>
      <c r="E804">
        <v>1.2641726618705</v>
      </c>
      <c r="F804">
        <v>0.88440287769784198</v>
      </c>
      <c r="G804">
        <v>1.21902158273381</v>
      </c>
      <c r="H804">
        <v>0.57113669064748196</v>
      </c>
      <c r="I804">
        <v>0.98917985611510795</v>
      </c>
      <c r="J804">
        <v>0.91700719424460397</v>
      </c>
      <c r="K804">
        <v>0.87899280575539596</v>
      </c>
      <c r="L804">
        <v>2540.6366966494202</v>
      </c>
      <c r="M804">
        <v>43.226328766368702</v>
      </c>
      <c r="O804">
        <v>58.649839990980801</v>
      </c>
      <c r="P804">
        <v>-2.6458854032769399E-2</v>
      </c>
      <c r="Q804">
        <v>0.85640185565820903</v>
      </c>
      <c r="R804">
        <v>0.18274844224947001</v>
      </c>
      <c r="S804" t="s">
        <v>2678</v>
      </c>
      <c r="T804" t="s">
        <v>3746</v>
      </c>
      <c r="U804" t="s">
        <v>3746</v>
      </c>
      <c r="V804" t="s">
        <v>3746</v>
      </c>
      <c r="W804" t="s">
        <v>4541</v>
      </c>
      <c r="X804">
        <v>1</v>
      </c>
      <c r="Z804" t="s">
        <v>8192</v>
      </c>
      <c r="AA804">
        <v>0.94676089520215834</v>
      </c>
      <c r="AB804" t="str">
        <f>HYPERLINK("Melting_Curves/meltCurve_P01780_.pdf", "Melting_Curves/meltCurve_P01780_.pdf")</f>
        <v>Melting_Curves/meltCurve_P01780_.pdf</v>
      </c>
    </row>
    <row r="805" spans="1:28" x14ac:dyDescent="0.25">
      <c r="A805" t="s">
        <v>809</v>
      </c>
      <c r="B805">
        <v>1</v>
      </c>
      <c r="C805">
        <v>0.99279494319939898</v>
      </c>
      <c r="D805">
        <v>1.48331344207223</v>
      </c>
      <c r="E805">
        <v>1.4422490385890501</v>
      </c>
      <c r="F805">
        <v>1.1011139106219301</v>
      </c>
      <c r="G805">
        <v>1.3555010387658599</v>
      </c>
      <c r="H805">
        <v>0.63382398444061305</v>
      </c>
      <c r="I805">
        <v>1.0914555982849301</v>
      </c>
      <c r="J805">
        <v>1.09969942094329</v>
      </c>
      <c r="K805">
        <v>1.0245104539627801</v>
      </c>
      <c r="L805">
        <v>11016.168040753</v>
      </c>
      <c r="M805">
        <v>250</v>
      </c>
      <c r="O805">
        <v>44.061853312335998</v>
      </c>
      <c r="P805">
        <v>0.218380562896106</v>
      </c>
      <c r="Q805">
        <v>1.1539560335979</v>
      </c>
      <c r="R805">
        <v>6.9766246431835002E-2</v>
      </c>
      <c r="S805" t="s">
        <v>2679</v>
      </c>
      <c r="T805" t="s">
        <v>3746</v>
      </c>
      <c r="U805" t="s">
        <v>3746</v>
      </c>
      <c r="V805" t="s">
        <v>3746</v>
      </c>
      <c r="W805" t="s">
        <v>4542</v>
      </c>
      <c r="X805">
        <v>2</v>
      </c>
      <c r="Z805" t="s">
        <v>8193</v>
      </c>
      <c r="AA805">
        <v>1.1330847676081659</v>
      </c>
      <c r="AB805" t="str">
        <f>HYPERLINK("Melting_Curves/meltCurve_P01781_.pdf", "Melting_Curves/meltCurve_P01781_.pdf")</f>
        <v>Melting_Curves/meltCurve_P01781_.pdf</v>
      </c>
    </row>
    <row r="806" spans="1:28" x14ac:dyDescent="0.25">
      <c r="A806" t="s">
        <v>810</v>
      </c>
      <c r="B806">
        <v>1</v>
      </c>
      <c r="C806">
        <v>1.0242693160991601</v>
      </c>
      <c r="D806">
        <v>1.42299604514324</v>
      </c>
      <c r="E806">
        <v>1.37602006366355</v>
      </c>
      <c r="F806">
        <v>1.0410340503520801</v>
      </c>
      <c r="G806">
        <v>1.1711970676184</v>
      </c>
      <c r="H806">
        <v>0.55952541718915805</v>
      </c>
      <c r="I806">
        <v>1.02610205459632</v>
      </c>
      <c r="J806">
        <v>0.96467637696537101</v>
      </c>
      <c r="K806">
        <v>0.893064531687084</v>
      </c>
      <c r="L806">
        <v>2910.3836169973101</v>
      </c>
      <c r="M806">
        <v>49.687428521383303</v>
      </c>
      <c r="O806">
        <v>58.479197563342296</v>
      </c>
      <c r="P806">
        <v>-2.6318715003359E-2</v>
      </c>
      <c r="Q806">
        <v>0.87609775542282697</v>
      </c>
      <c r="R806">
        <v>6.5475401414918796E-2</v>
      </c>
      <c r="S806" t="s">
        <v>2680</v>
      </c>
      <c r="T806" t="s">
        <v>3746</v>
      </c>
      <c r="U806" t="s">
        <v>3746</v>
      </c>
      <c r="V806" t="s">
        <v>3746</v>
      </c>
      <c r="W806" t="s">
        <v>4543</v>
      </c>
      <c r="X806">
        <v>2</v>
      </c>
      <c r="Z806" t="s">
        <v>8194</v>
      </c>
      <c r="AA806">
        <v>0.95313111019484487</v>
      </c>
      <c r="AB806" t="str">
        <f>HYPERLINK("Melting_Curves/meltCurve_P01824_.pdf", "Melting_Curves/meltCurve_P01824_.pdf")</f>
        <v>Melting_Curves/meltCurve_P01824_.pdf</v>
      </c>
    </row>
    <row r="807" spans="1:28" x14ac:dyDescent="0.25">
      <c r="A807" t="s">
        <v>811</v>
      </c>
      <c r="B807">
        <v>1</v>
      </c>
      <c r="C807">
        <v>0.90857908847184998</v>
      </c>
      <c r="D807">
        <v>1.19798927613941</v>
      </c>
      <c r="E807">
        <v>1.3292895442359201</v>
      </c>
      <c r="F807">
        <v>0.90697050938337798</v>
      </c>
      <c r="G807">
        <v>1.0524798927613901</v>
      </c>
      <c r="H807">
        <v>0.61092493297587103</v>
      </c>
      <c r="I807">
        <v>0.92339142091152804</v>
      </c>
      <c r="J807">
        <v>0.940750670241287</v>
      </c>
      <c r="K807">
        <v>0.86950402144772099</v>
      </c>
      <c r="L807">
        <v>14690.657212382101</v>
      </c>
      <c r="M807">
        <v>250</v>
      </c>
      <c r="O807">
        <v>58.7588637001029</v>
      </c>
      <c r="P807">
        <v>-0.174282421284014</v>
      </c>
      <c r="Q807">
        <v>0.83614979438223203</v>
      </c>
      <c r="R807">
        <v>0.29730933365997297</v>
      </c>
      <c r="S807" t="s">
        <v>2681</v>
      </c>
      <c r="T807" t="s">
        <v>3746</v>
      </c>
      <c r="U807" t="s">
        <v>3746</v>
      </c>
      <c r="V807" t="s">
        <v>3746</v>
      </c>
      <c r="W807" t="s">
        <v>4544</v>
      </c>
      <c r="X807">
        <v>37</v>
      </c>
      <c r="Y807" t="s">
        <v>6357</v>
      </c>
      <c r="Z807" t="s">
        <v>8195</v>
      </c>
      <c r="AA807">
        <v>0.93864204500833137</v>
      </c>
      <c r="AB807" t="str">
        <f>HYPERLINK("Melting_Curves/meltCurve_P01833_PIGR.pdf", "Melting_Curves/meltCurve_P01833_PIGR.pdf")</f>
        <v>Melting_Curves/meltCurve_P01833_PIGR.pdf</v>
      </c>
    </row>
    <row r="808" spans="1:28" x14ac:dyDescent="0.25">
      <c r="A808" t="s">
        <v>812</v>
      </c>
      <c r="B808">
        <v>1</v>
      </c>
      <c r="C808">
        <v>1.0973060576493701</v>
      </c>
      <c r="D808">
        <v>1.0051927433891701</v>
      </c>
      <c r="E808">
        <v>0.98968066281896505</v>
      </c>
      <c r="F808">
        <v>1.0831831186227701</v>
      </c>
      <c r="G808">
        <v>1.1036564189915501</v>
      </c>
      <c r="H808">
        <v>0.458367097190296</v>
      </c>
      <c r="I808">
        <v>0.84840166035489295</v>
      </c>
      <c r="J808">
        <v>0.73723726206816698</v>
      </c>
      <c r="K808">
        <v>0.744513717772743</v>
      </c>
      <c r="L808">
        <v>6077.0143856753903</v>
      </c>
      <c r="M808">
        <v>103.526678105069</v>
      </c>
      <c r="O808">
        <v>58.678090455860399</v>
      </c>
      <c r="P808">
        <v>-0.13217908090080499</v>
      </c>
      <c r="Q808">
        <v>0.70032784412448401</v>
      </c>
      <c r="R808">
        <v>0.70121792643893299</v>
      </c>
      <c r="S808" t="s">
        <v>2682</v>
      </c>
      <c r="T808" t="s">
        <v>3746</v>
      </c>
      <c r="U808" t="s">
        <v>3746</v>
      </c>
      <c r="V808" t="s">
        <v>3746</v>
      </c>
      <c r="W808" t="s">
        <v>4545</v>
      </c>
      <c r="X808">
        <v>10</v>
      </c>
      <c r="Y808" t="s">
        <v>6358</v>
      </c>
      <c r="Z808" t="s">
        <v>8196</v>
      </c>
      <c r="AA808">
        <v>0.88730354930177424</v>
      </c>
      <c r="AB808" t="str">
        <f>HYPERLINK("Melting_Curves/meltCurve_P01834_IGKC.pdf", "Melting_Curves/meltCurve_P01834_IGKC.pdf")</f>
        <v>Melting_Curves/meltCurve_P01834_IGKC.pdf</v>
      </c>
    </row>
    <row r="809" spans="1:28" x14ac:dyDescent="0.25">
      <c r="A809" t="s">
        <v>813</v>
      </c>
      <c r="B809">
        <v>1</v>
      </c>
      <c r="C809">
        <v>0.90879048248512895</v>
      </c>
      <c r="D809">
        <v>1.2414628772857501</v>
      </c>
      <c r="E809">
        <v>1.1074392303738001</v>
      </c>
      <c r="F809">
        <v>1.00455313211427</v>
      </c>
      <c r="G809">
        <v>1.25681133876772</v>
      </c>
      <c r="H809">
        <v>0.525556289931703</v>
      </c>
      <c r="I809">
        <v>0.95806712197987798</v>
      </c>
      <c r="J809">
        <v>0.92347800543438396</v>
      </c>
      <c r="K809">
        <v>0.85819196592494695</v>
      </c>
      <c r="L809">
        <v>2684.9619338596699</v>
      </c>
      <c r="M809">
        <v>45.611938503494699</v>
      </c>
      <c r="O809">
        <v>58.752515767722699</v>
      </c>
      <c r="P809">
        <v>-3.2101093947165003E-2</v>
      </c>
      <c r="Q809">
        <v>0.83460315168680499</v>
      </c>
      <c r="R809">
        <v>0.243560866923688</v>
      </c>
      <c r="S809" t="s">
        <v>2683</v>
      </c>
      <c r="T809" t="s">
        <v>3746</v>
      </c>
      <c r="U809" t="s">
        <v>3746</v>
      </c>
      <c r="V809" t="s">
        <v>3746</v>
      </c>
      <c r="W809" t="s">
        <v>4546</v>
      </c>
      <c r="X809">
        <v>13</v>
      </c>
      <c r="Y809" t="s">
        <v>6359</v>
      </c>
      <c r="Z809" t="s">
        <v>8197</v>
      </c>
      <c r="AA809">
        <v>0.93912119083983991</v>
      </c>
      <c r="AB809" t="str">
        <f>HYPERLINK("Melting_Curves/meltCurve_P01857_IGHG1.pdf", "Melting_Curves/meltCurve_P01857_IGHG1.pdf")</f>
        <v>Melting_Curves/meltCurve_P01857_IGHG1.pdf</v>
      </c>
    </row>
    <row r="810" spans="1:28" x14ac:dyDescent="0.25">
      <c r="A810" t="s">
        <v>814</v>
      </c>
      <c r="B810">
        <v>1</v>
      </c>
      <c r="C810">
        <v>0.94012310268376298</v>
      </c>
      <c r="D810">
        <v>1.2832291973519001</v>
      </c>
      <c r="E810">
        <v>1.27411277694228</v>
      </c>
      <c r="F810">
        <v>1.14972325152328</v>
      </c>
      <c r="G810">
        <v>1.17124296500721</v>
      </c>
      <c r="H810">
        <v>0.63388579667901801</v>
      </c>
      <c r="I810">
        <v>0.93565791717701097</v>
      </c>
      <c r="J810">
        <v>0.96967394843330901</v>
      </c>
      <c r="K810">
        <v>0.87295927068636703</v>
      </c>
      <c r="L810">
        <v>2342.3025203668399</v>
      </c>
      <c r="M810">
        <v>39.8645008511293</v>
      </c>
      <c r="O810">
        <v>58.609328009594101</v>
      </c>
      <c r="P810">
        <v>-2.2323017027131201E-2</v>
      </c>
      <c r="Q810">
        <v>0.86872187588206695</v>
      </c>
      <c r="R810">
        <v>0.158306100069351</v>
      </c>
      <c r="S810" t="s">
        <v>2684</v>
      </c>
      <c r="T810" t="s">
        <v>3746</v>
      </c>
      <c r="U810" t="s">
        <v>3746</v>
      </c>
      <c r="V810" t="s">
        <v>3746</v>
      </c>
      <c r="W810" t="s">
        <v>4547</v>
      </c>
      <c r="X810">
        <v>14</v>
      </c>
      <c r="Y810" t="s">
        <v>6360</v>
      </c>
      <c r="Z810" t="s">
        <v>8198</v>
      </c>
      <c r="AA810">
        <v>0.95132042736413924</v>
      </c>
      <c r="AB810" t="str">
        <f>HYPERLINK("Melting_Curves/meltCurve_P01859_IGHG2.pdf", "Melting_Curves/meltCurve_P01859_IGHG2.pdf")</f>
        <v>Melting_Curves/meltCurve_P01859_IGHG2.pdf</v>
      </c>
    </row>
    <row r="811" spans="1:28" x14ac:dyDescent="0.25">
      <c r="A811" t="s">
        <v>815</v>
      </c>
      <c r="B811">
        <v>1</v>
      </c>
      <c r="C811">
        <v>0.968456057007126</v>
      </c>
      <c r="D811">
        <v>1.30888361045131</v>
      </c>
      <c r="E811">
        <v>1.38916864608076</v>
      </c>
      <c r="F811">
        <v>1.06299287410926</v>
      </c>
      <c r="G811">
        <v>1.2197624703087899</v>
      </c>
      <c r="H811">
        <v>0.71021377672208996</v>
      </c>
      <c r="I811">
        <v>0.98422802850356295</v>
      </c>
      <c r="J811">
        <v>0.96674584323040402</v>
      </c>
      <c r="K811">
        <v>0.95344418052256497</v>
      </c>
      <c r="S811" t="s">
        <v>2685</v>
      </c>
      <c r="T811" t="s">
        <v>3746</v>
      </c>
      <c r="U811" t="s">
        <v>3747</v>
      </c>
      <c r="V811" t="s">
        <v>3746</v>
      </c>
      <c r="W811" t="s">
        <v>4548</v>
      </c>
      <c r="X811">
        <v>14</v>
      </c>
      <c r="Y811" t="s">
        <v>6361</v>
      </c>
      <c r="Z811" t="s">
        <v>8199</v>
      </c>
      <c r="AB811" t="str">
        <f>HYPERLINK("Melting_Curves/meltCurve_P01860_IGHG3.pdf", "Melting_Curves/meltCurve_P01860_IGHG3.pdf")</f>
        <v>Melting_Curves/meltCurve_P01860_IGHG3.pdf</v>
      </c>
    </row>
    <row r="812" spans="1:28" x14ac:dyDescent="0.25">
      <c r="A812" t="s">
        <v>816</v>
      </c>
      <c r="B812">
        <v>1</v>
      </c>
      <c r="C812">
        <v>1.0806031024338101</v>
      </c>
      <c r="D812">
        <v>1.6091869483819199</v>
      </c>
      <c r="E812">
        <v>1.7715298208076999</v>
      </c>
      <c r="F812">
        <v>1.2487296068467499</v>
      </c>
      <c r="G812">
        <v>1.3928523669430299</v>
      </c>
      <c r="H812">
        <v>0.84106713024873003</v>
      </c>
      <c r="I812">
        <v>1.2188419363466201</v>
      </c>
      <c r="J812">
        <v>1.19988633324418</v>
      </c>
      <c r="K812">
        <v>1.1329232415084201</v>
      </c>
      <c r="L812">
        <v>10768.323072953701</v>
      </c>
      <c r="M812">
        <v>250</v>
      </c>
      <c r="O812">
        <v>43.070536123813604</v>
      </c>
      <c r="P812">
        <v>0.43805637799755398</v>
      </c>
      <c r="Q812">
        <v>1.3018771668301099</v>
      </c>
      <c r="R812">
        <v>0.16172043440665701</v>
      </c>
      <c r="S812" t="s">
        <v>2686</v>
      </c>
      <c r="T812" t="s">
        <v>3746</v>
      </c>
      <c r="U812" t="s">
        <v>3746</v>
      </c>
      <c r="V812" t="s">
        <v>3746</v>
      </c>
      <c r="W812" t="s">
        <v>4549</v>
      </c>
      <c r="X812">
        <v>9</v>
      </c>
      <c r="Y812" t="s">
        <v>6362</v>
      </c>
      <c r="Z812" t="s">
        <v>8200</v>
      </c>
      <c r="AA812">
        <v>1.2709291213723539</v>
      </c>
      <c r="AB812" t="str">
        <f>HYPERLINK("Melting_Curves/meltCurve_P01861_IGHG4.pdf", "Melting_Curves/meltCurve_P01861_IGHG4.pdf")</f>
        <v>Melting_Curves/meltCurve_P01861_IGHG4.pdf</v>
      </c>
    </row>
    <row r="813" spans="1:28" x14ac:dyDescent="0.25">
      <c r="A813" t="s">
        <v>817</v>
      </c>
      <c r="B813">
        <v>1</v>
      </c>
      <c r="C813">
        <v>1.04539751141473</v>
      </c>
      <c r="D813">
        <v>1.50869610679307</v>
      </c>
      <c r="E813">
        <v>1.5477327384894199</v>
      </c>
      <c r="F813">
        <v>1.1700358997595099</v>
      </c>
      <c r="G813">
        <v>1.29610330765745</v>
      </c>
      <c r="H813">
        <v>0.777665470008016</v>
      </c>
      <c r="I813">
        <v>1.1710640967550801</v>
      </c>
      <c r="J813">
        <v>1.1611829493569401</v>
      </c>
      <c r="K813">
        <v>1.09403645742567</v>
      </c>
      <c r="L813">
        <v>10781.747439277</v>
      </c>
      <c r="M813">
        <v>250</v>
      </c>
      <c r="O813">
        <v>43.124229911362903</v>
      </c>
      <c r="P813">
        <v>0.31278039754192799</v>
      </c>
      <c r="Q813">
        <v>1.21581462017518</v>
      </c>
      <c r="R813">
        <v>0.127258987692976</v>
      </c>
      <c r="S813" t="s">
        <v>2687</v>
      </c>
      <c r="T813" t="s">
        <v>3746</v>
      </c>
      <c r="U813" t="s">
        <v>3746</v>
      </c>
      <c r="V813" t="s">
        <v>3746</v>
      </c>
      <c r="W813" t="s">
        <v>4550</v>
      </c>
      <c r="X813">
        <v>17</v>
      </c>
      <c r="Y813" t="s">
        <v>6363</v>
      </c>
      <c r="Z813" t="s">
        <v>8201</v>
      </c>
      <c r="AA813">
        <v>1.1933032822109171</v>
      </c>
      <c r="AB813" t="str">
        <f>HYPERLINK("Melting_Curves/meltCurve_P01871_IGHM.pdf", "Melting_Curves/meltCurve_P01871_IGHM.pdf")</f>
        <v>Melting_Curves/meltCurve_P01871_IGHM.pdf</v>
      </c>
    </row>
    <row r="814" spans="1:28" x14ac:dyDescent="0.25">
      <c r="A814" t="s">
        <v>818</v>
      </c>
      <c r="B814">
        <v>1</v>
      </c>
      <c r="C814">
        <v>0.94322171673702504</v>
      </c>
      <c r="D814">
        <v>1.3676790032378401</v>
      </c>
      <c r="E814">
        <v>1.4855800101097001</v>
      </c>
      <c r="F814">
        <v>0.96147383089470895</v>
      </c>
      <c r="G814">
        <v>1.1259477847452799</v>
      </c>
      <c r="H814">
        <v>0.77590611637088902</v>
      </c>
      <c r="I814">
        <v>1.0132928945175299</v>
      </c>
      <c r="J814">
        <v>1.02155826058445</v>
      </c>
      <c r="K814">
        <v>0.95767586103255598</v>
      </c>
      <c r="L814">
        <v>11065.1807697983</v>
      </c>
      <c r="M814">
        <v>250</v>
      </c>
      <c r="O814">
        <v>44.257892075015299</v>
      </c>
      <c r="P814">
        <v>0.12516806767320099</v>
      </c>
      <c r="Q814">
        <v>1.08863479440177</v>
      </c>
      <c r="R814">
        <v>5.0526485574263903E-2</v>
      </c>
      <c r="S814" t="s">
        <v>2688</v>
      </c>
      <c r="T814" t="s">
        <v>3746</v>
      </c>
      <c r="U814" t="s">
        <v>3746</v>
      </c>
      <c r="V814" t="s">
        <v>3746</v>
      </c>
      <c r="W814" t="s">
        <v>4551</v>
      </c>
      <c r="X814">
        <v>21</v>
      </c>
      <c r="Y814" t="s">
        <v>6364</v>
      </c>
      <c r="Z814" t="s">
        <v>8202</v>
      </c>
      <c r="AA814">
        <v>1.076039632389894</v>
      </c>
      <c r="AB814" t="str">
        <f>HYPERLINK("Melting_Curves/meltCurve_P01876_IGHA1.pdf", "Melting_Curves/meltCurve_P01876_IGHA1.pdf")</f>
        <v>Melting_Curves/meltCurve_P01876_IGHA1.pdf</v>
      </c>
    </row>
    <row r="815" spans="1:28" x14ac:dyDescent="0.25">
      <c r="A815" t="s">
        <v>819</v>
      </c>
      <c r="B815">
        <v>1</v>
      </c>
      <c r="C815">
        <v>0.90957609694212305</v>
      </c>
      <c r="D815">
        <v>1.3297023783484301</v>
      </c>
      <c r="E815">
        <v>1.3866456683727799</v>
      </c>
      <c r="F815">
        <v>1.10924945681497</v>
      </c>
      <c r="G815">
        <v>1.10315411872785</v>
      </c>
      <c r="H815">
        <v>0.64154162474299004</v>
      </c>
      <c r="I815">
        <v>0.94111728422065699</v>
      </c>
      <c r="J815">
        <v>1.03454510987649</v>
      </c>
      <c r="K815">
        <v>0.90371407323154995</v>
      </c>
      <c r="L815">
        <v>2362.8502768705098</v>
      </c>
      <c r="M815">
        <v>40.576913577645598</v>
      </c>
      <c r="O815">
        <v>58.090502230216799</v>
      </c>
      <c r="P815">
        <v>-1.8367073723436898E-2</v>
      </c>
      <c r="Q815">
        <v>0.89482193152447898</v>
      </c>
      <c r="R815">
        <v>6.848094495267E-2</v>
      </c>
      <c r="S815" t="s">
        <v>2689</v>
      </c>
      <c r="T815" t="s">
        <v>3746</v>
      </c>
      <c r="U815" t="s">
        <v>3746</v>
      </c>
      <c r="V815" t="s">
        <v>3746</v>
      </c>
      <c r="W815" t="s">
        <v>4552</v>
      </c>
      <c r="X815">
        <v>19</v>
      </c>
      <c r="Y815" t="s">
        <v>6365</v>
      </c>
      <c r="Z815" t="s">
        <v>8203</v>
      </c>
      <c r="AA815">
        <v>0.95914301023920467</v>
      </c>
      <c r="AB815" t="str">
        <f>HYPERLINK("Melting_Curves/meltCurve_P01877_IGHA2.pdf", "Melting_Curves/meltCurve_P01877_IGHA2.pdf")</f>
        <v>Melting_Curves/meltCurve_P01877_IGHA2.pdf</v>
      </c>
    </row>
    <row r="816" spans="1:28" x14ac:dyDescent="0.25">
      <c r="A816" t="s">
        <v>820</v>
      </c>
      <c r="B816">
        <v>1</v>
      </c>
      <c r="C816">
        <v>0.74608384305534803</v>
      </c>
      <c r="D816">
        <v>1.0598985528867699</v>
      </c>
      <c r="E816">
        <v>1.5590034312994201</v>
      </c>
      <c r="F816">
        <v>0.55379680739967196</v>
      </c>
      <c r="G816">
        <v>0.79412203490974198</v>
      </c>
      <c r="H816">
        <v>0.60078323138892997</v>
      </c>
      <c r="I816">
        <v>0.72292257198269405</v>
      </c>
      <c r="J816">
        <v>0.92361629121289002</v>
      </c>
      <c r="K816">
        <v>0.73361927495151402</v>
      </c>
      <c r="L816">
        <v>6960.8797878848</v>
      </c>
      <c r="M816">
        <v>134.722427912043</v>
      </c>
      <c r="O816">
        <v>51.656913111715703</v>
      </c>
      <c r="P816">
        <v>-0.183147833008897</v>
      </c>
      <c r="Q816">
        <v>0.71910085726170603</v>
      </c>
      <c r="R816">
        <v>0.37705802011999601</v>
      </c>
      <c r="S816" t="s">
        <v>2690</v>
      </c>
      <c r="T816" t="s">
        <v>3746</v>
      </c>
      <c r="U816" t="s">
        <v>3746</v>
      </c>
      <c r="V816" t="s">
        <v>3746</v>
      </c>
      <c r="W816" t="s">
        <v>4553</v>
      </c>
      <c r="X816">
        <v>9</v>
      </c>
      <c r="Y816" t="s">
        <v>6366</v>
      </c>
      <c r="Z816" t="s">
        <v>8204</v>
      </c>
      <c r="AA816">
        <v>0.82844253057106487</v>
      </c>
      <c r="AB816" t="str">
        <f>HYPERLINK("Melting_Curves/meltCurve_P01889_HLA_B.pdf", "Melting_Curves/meltCurve_P01889_HLA_B.pdf")</f>
        <v>Melting_Curves/meltCurve_P01889_HLA_B.pdf</v>
      </c>
    </row>
    <row r="817" spans="1:28" x14ac:dyDescent="0.25">
      <c r="A817" t="s">
        <v>821</v>
      </c>
      <c r="B817">
        <v>1</v>
      </c>
      <c r="C817">
        <v>0.78064012490241996</v>
      </c>
      <c r="D817">
        <v>0.90478420876547305</v>
      </c>
      <c r="E817">
        <v>1.20680272108844</v>
      </c>
      <c r="F817">
        <v>0.78280361324857795</v>
      </c>
      <c r="G817">
        <v>0.90288836846213905</v>
      </c>
      <c r="H817">
        <v>0.46860711497713797</v>
      </c>
      <c r="I817">
        <v>0.82950819672131104</v>
      </c>
      <c r="J817">
        <v>0.84340359094457495</v>
      </c>
      <c r="K817">
        <v>0.63329987732797999</v>
      </c>
      <c r="L817">
        <v>13169.173654766</v>
      </c>
      <c r="M817">
        <v>250</v>
      </c>
      <c r="O817">
        <v>52.673330428312802</v>
      </c>
      <c r="P817">
        <v>-0.31379603998945299</v>
      </c>
      <c r="Q817">
        <v>0.73554111420047297</v>
      </c>
      <c r="R817">
        <v>0.35292993423154301</v>
      </c>
      <c r="S817" t="s">
        <v>2691</v>
      </c>
      <c r="T817" t="s">
        <v>3746</v>
      </c>
      <c r="U817" t="s">
        <v>3746</v>
      </c>
      <c r="V817" t="s">
        <v>3746</v>
      </c>
      <c r="W817" t="s">
        <v>4554</v>
      </c>
      <c r="X817">
        <v>4</v>
      </c>
      <c r="Y817" t="s">
        <v>6367</v>
      </c>
      <c r="Z817" t="s">
        <v>8205</v>
      </c>
      <c r="AA817">
        <v>0.8473143803919877</v>
      </c>
      <c r="AB817" t="str">
        <f>HYPERLINK("Melting_Curves/meltCurve_P01903_HLA_DRA.pdf", "Melting_Curves/meltCurve_P01903_HLA_DRA.pdf")</f>
        <v>Melting_Curves/meltCurve_P01903_HLA_DRA.pdf</v>
      </c>
    </row>
    <row r="818" spans="1:28" x14ac:dyDescent="0.25">
      <c r="A818" t="s">
        <v>822</v>
      </c>
      <c r="B818">
        <v>1</v>
      </c>
      <c r="C818">
        <v>0.94551751048678201</v>
      </c>
      <c r="D818">
        <v>1.9193249439079101</v>
      </c>
      <c r="E818">
        <v>2.62071992976295</v>
      </c>
      <c r="F818">
        <v>1.1283167495854101</v>
      </c>
      <c r="G818">
        <v>1.2948736708613799</v>
      </c>
      <c r="H818">
        <v>0.77760706272558799</v>
      </c>
      <c r="I818">
        <v>2.0540678958150398</v>
      </c>
      <c r="J818">
        <v>1.9862696322310001</v>
      </c>
      <c r="K818">
        <v>1.9478587454882501</v>
      </c>
      <c r="L818">
        <v>11055.2721364551</v>
      </c>
      <c r="M818">
        <v>250</v>
      </c>
      <c r="O818">
        <v>44.218258644694501</v>
      </c>
      <c r="P818">
        <v>0.70672163406727795</v>
      </c>
      <c r="Q818">
        <v>1.5</v>
      </c>
      <c r="R818">
        <v>0.150130931859597</v>
      </c>
      <c r="S818" t="s">
        <v>2692</v>
      </c>
      <c r="T818" t="s">
        <v>3746</v>
      </c>
      <c r="U818" t="s">
        <v>3746</v>
      </c>
      <c r="V818" t="s">
        <v>3746</v>
      </c>
      <c r="W818" t="s">
        <v>4555</v>
      </c>
      <c r="X818">
        <v>2</v>
      </c>
      <c r="Y818" t="s">
        <v>6368</v>
      </c>
      <c r="Z818" t="s">
        <v>8206</v>
      </c>
      <c r="AA818">
        <v>1.4296097205752341</v>
      </c>
      <c r="AB818" t="str">
        <f>HYPERLINK("Melting_Curves/meltCurve_P02462_2_COL4A1.pdf", "Melting_Curves/meltCurve_P02462_2_COL4A1.pdf")</f>
        <v>Melting_Curves/meltCurve_P02462_2_COL4A1.pdf</v>
      </c>
    </row>
    <row r="819" spans="1:28" x14ac:dyDescent="0.25">
      <c r="A819" t="s">
        <v>823</v>
      </c>
      <c r="B819">
        <v>1</v>
      </c>
      <c r="C819">
        <v>1.2266034862074799</v>
      </c>
      <c r="D819">
        <v>1.3357590116771001</v>
      </c>
      <c r="E819">
        <v>1.58038585209003</v>
      </c>
      <c r="F819">
        <v>1.1581485869013399</v>
      </c>
      <c r="G819">
        <v>1.02445422237265</v>
      </c>
      <c r="H819">
        <v>0.82897275342697596</v>
      </c>
      <c r="I819">
        <v>1.0939245219157201</v>
      </c>
      <c r="J819">
        <v>1.1517177187341301</v>
      </c>
      <c r="K819">
        <v>1.09629378913522</v>
      </c>
      <c r="L819">
        <v>10245.208104610099</v>
      </c>
      <c r="M819">
        <v>250</v>
      </c>
      <c r="O819">
        <v>40.978209957837201</v>
      </c>
      <c r="P819">
        <v>0.25356644058139599</v>
      </c>
      <c r="Q819">
        <v>1.16625118108589</v>
      </c>
      <c r="R819">
        <v>6.6685016904057398E-2</v>
      </c>
      <c r="S819" t="s">
        <v>2693</v>
      </c>
      <c r="T819" t="s">
        <v>3746</v>
      </c>
      <c r="U819" t="s">
        <v>3746</v>
      </c>
      <c r="V819" t="s">
        <v>3746</v>
      </c>
      <c r="W819" t="s">
        <v>4556</v>
      </c>
      <c r="X819">
        <v>4</v>
      </c>
      <c r="Y819" t="s">
        <v>6369</v>
      </c>
      <c r="Z819" t="s">
        <v>8207</v>
      </c>
      <c r="AA819">
        <v>1.1608018724783891</v>
      </c>
      <c r="AB819" t="str">
        <f>HYPERLINK("Melting_Curves/meltCurve_P02545_2_LMNA.pdf", "Melting_Curves/meltCurve_P02545_2_LMNA.pdf")</f>
        <v>Melting_Curves/meltCurve_P02545_2_LMNA.pdf</v>
      </c>
    </row>
    <row r="820" spans="1:28" x14ac:dyDescent="0.25">
      <c r="A820" t="s">
        <v>824</v>
      </c>
      <c r="B820">
        <v>1</v>
      </c>
      <c r="C820">
        <v>0.92017217765603598</v>
      </c>
      <c r="D820">
        <v>1.2587136987450001</v>
      </c>
      <c r="E820">
        <v>1.4870447494200201</v>
      </c>
      <c r="F820">
        <v>0.78539285015512805</v>
      </c>
      <c r="G820">
        <v>1.0411437515722399</v>
      </c>
      <c r="H820">
        <v>0.68812365486206195</v>
      </c>
      <c r="I820">
        <v>0.920563490510663</v>
      </c>
      <c r="J820">
        <v>0.99877015959974302</v>
      </c>
      <c r="K820">
        <v>0.93551723174106305</v>
      </c>
      <c r="L820">
        <v>14688.808052063399</v>
      </c>
      <c r="M820">
        <v>250</v>
      </c>
      <c r="O820">
        <v>58.751472273537701</v>
      </c>
      <c r="P820">
        <v>-0.12153907191956401</v>
      </c>
      <c r="Q820">
        <v>0.885750409529659</v>
      </c>
      <c r="R820">
        <v>0.11179675406751501</v>
      </c>
      <c r="S820" t="s">
        <v>2694</v>
      </c>
      <c r="T820" t="s">
        <v>3746</v>
      </c>
      <c r="U820" t="s">
        <v>3746</v>
      </c>
      <c r="V820" t="s">
        <v>3746</v>
      </c>
      <c r="W820" t="s">
        <v>4557</v>
      </c>
      <c r="X820">
        <v>26</v>
      </c>
      <c r="Y820" t="s">
        <v>6370</v>
      </c>
      <c r="Z820" t="s">
        <v>8208</v>
      </c>
      <c r="AA820">
        <v>0.95718811028675987</v>
      </c>
      <c r="AB820" t="str">
        <f>HYPERLINK("Melting_Curves/meltCurve_P02647_APOA1.pdf", "Melting_Curves/meltCurve_P02647_APOA1.pdf")</f>
        <v>Melting_Curves/meltCurve_P02647_APOA1.pdf</v>
      </c>
    </row>
    <row r="821" spans="1:28" x14ac:dyDescent="0.25">
      <c r="A821" t="s">
        <v>825</v>
      </c>
      <c r="B821">
        <v>1</v>
      </c>
      <c r="C821">
        <v>1.0887855702442299</v>
      </c>
      <c r="D821">
        <v>1.3456755545597101</v>
      </c>
      <c r="E821">
        <v>1.6449977593546901</v>
      </c>
      <c r="F821">
        <v>1.02299462245127</v>
      </c>
      <c r="G821">
        <v>1.1361752184629199</v>
      </c>
      <c r="H821">
        <v>0.80394353573829302</v>
      </c>
      <c r="I821">
        <v>1.1370154604526099</v>
      </c>
      <c r="J821">
        <v>1.11220031369034</v>
      </c>
      <c r="K821">
        <v>1.04817387407573</v>
      </c>
      <c r="L821">
        <v>1.0000000000000001E-5</v>
      </c>
      <c r="M821">
        <v>1.0000000000000001E-5</v>
      </c>
      <c r="Q821">
        <v>1.2679910663417899</v>
      </c>
      <c r="R821">
        <v>-4.2609245021196801E-9</v>
      </c>
      <c r="S821" t="s">
        <v>2695</v>
      </c>
      <c r="T821" t="s">
        <v>3746</v>
      </c>
      <c r="U821" t="s">
        <v>3746</v>
      </c>
      <c r="V821" t="s">
        <v>3746</v>
      </c>
      <c r="W821" t="s">
        <v>4558</v>
      </c>
      <c r="X821">
        <v>12</v>
      </c>
      <c r="Y821" t="s">
        <v>6371</v>
      </c>
      <c r="Z821" t="s">
        <v>8209</v>
      </c>
      <c r="AA821">
        <v>1.133996190650892</v>
      </c>
      <c r="AB821" t="str">
        <f>HYPERLINK("Melting_Curves/meltCurve_P02649_APOE.pdf", "Melting_Curves/meltCurve_P02649_APOE.pdf")</f>
        <v>Melting_Curves/meltCurve_P02649_APOE.pdf</v>
      </c>
    </row>
    <row r="822" spans="1:28" x14ac:dyDescent="0.25">
      <c r="A822" t="s">
        <v>826</v>
      </c>
      <c r="B822">
        <v>1</v>
      </c>
      <c r="C822">
        <v>1.13794020640494</v>
      </c>
      <c r="D822">
        <v>1.3895627194382401</v>
      </c>
      <c r="E822">
        <v>1.79029684008937</v>
      </c>
      <c r="F822">
        <v>0.77827428449835101</v>
      </c>
      <c r="G822">
        <v>0.64070645813384397</v>
      </c>
      <c r="H822">
        <v>0.91265028194488795</v>
      </c>
      <c r="I822">
        <v>0.84365358016810299</v>
      </c>
      <c r="J822">
        <v>1.0497393339717001</v>
      </c>
      <c r="K822">
        <v>1.09261623576976</v>
      </c>
      <c r="L822">
        <v>10230.844092073599</v>
      </c>
      <c r="M822">
        <v>250</v>
      </c>
      <c r="O822">
        <v>40.920758137152802</v>
      </c>
      <c r="P822">
        <v>0.10783702782627599</v>
      </c>
      <c r="Q822">
        <v>1.0706043658359701</v>
      </c>
      <c r="R822">
        <v>4.5949826584599203E-3</v>
      </c>
      <c r="S822" t="s">
        <v>2696</v>
      </c>
      <c r="T822" t="s">
        <v>3746</v>
      </c>
      <c r="U822" t="s">
        <v>3746</v>
      </c>
      <c r="V822" t="s">
        <v>3746</v>
      </c>
      <c r="W822" t="s">
        <v>4559</v>
      </c>
      <c r="X822">
        <v>4</v>
      </c>
      <c r="Y822" t="s">
        <v>6372</v>
      </c>
      <c r="Z822" t="s">
        <v>8210</v>
      </c>
      <c r="AA822">
        <v>1.0684250119230081</v>
      </c>
      <c r="AB822" t="str">
        <f>HYPERLINK("Melting_Curves/meltCurve_P02652_APOA2.pdf", "Melting_Curves/meltCurve_P02652_APOA2.pdf")</f>
        <v>Melting_Curves/meltCurve_P02652_APOA2.pdf</v>
      </c>
    </row>
    <row r="823" spans="1:28" x14ac:dyDescent="0.25">
      <c r="A823" t="s">
        <v>827</v>
      </c>
      <c r="B823">
        <v>1</v>
      </c>
      <c r="C823">
        <v>1.06390634857583</v>
      </c>
      <c r="D823">
        <v>1.3322429142229599</v>
      </c>
      <c r="E823">
        <v>1.83391359207421</v>
      </c>
      <c r="F823">
        <v>1.3776199266303699</v>
      </c>
      <c r="G823">
        <v>1.51681192606958</v>
      </c>
      <c r="H823">
        <v>0.97658714395868895</v>
      </c>
      <c r="I823">
        <v>1.4601257097460101</v>
      </c>
      <c r="J823">
        <v>1.4722293618711599</v>
      </c>
      <c r="K823">
        <v>1.37336729209991</v>
      </c>
      <c r="L823">
        <v>2323.3228788326301</v>
      </c>
      <c r="M823">
        <v>52.0735049276797</v>
      </c>
      <c r="O823">
        <v>44.550572505568098</v>
      </c>
      <c r="P823">
        <v>0.12501614743221601</v>
      </c>
      <c r="Q823">
        <v>1.4278211029999299</v>
      </c>
      <c r="R823">
        <v>0.38929003643285198</v>
      </c>
      <c r="S823" t="s">
        <v>2697</v>
      </c>
      <c r="T823" t="s">
        <v>3746</v>
      </c>
      <c r="U823" t="s">
        <v>3746</v>
      </c>
      <c r="V823" t="s">
        <v>3746</v>
      </c>
      <c r="W823" t="s">
        <v>4560</v>
      </c>
      <c r="X823">
        <v>23</v>
      </c>
      <c r="Y823" t="s">
        <v>6373</v>
      </c>
      <c r="Z823" t="s">
        <v>8211</v>
      </c>
      <c r="AA823">
        <v>1.361191375314498</v>
      </c>
      <c r="AB823" t="str">
        <f>HYPERLINK("Melting_Curves/meltCurve_P02671_2_FGA.pdf", "Melting_Curves/meltCurve_P02671_2_FGA.pdf")</f>
        <v>Melting_Curves/meltCurve_P02671_2_FGA.pdf</v>
      </c>
    </row>
    <row r="824" spans="1:28" x14ac:dyDescent="0.25">
      <c r="A824" t="s">
        <v>828</v>
      </c>
      <c r="B824">
        <v>1</v>
      </c>
      <c r="C824">
        <v>1.01225028269883</v>
      </c>
      <c r="D824">
        <v>1.61618921975123</v>
      </c>
      <c r="E824">
        <v>3.0074444025631402</v>
      </c>
      <c r="F824">
        <v>2.6228797587636601</v>
      </c>
      <c r="G824">
        <v>2.6563324538258599</v>
      </c>
      <c r="H824">
        <v>2.1378627968337698</v>
      </c>
      <c r="I824">
        <v>2.9552393516773501</v>
      </c>
      <c r="J824">
        <v>3.0802864681492599</v>
      </c>
      <c r="K824">
        <v>2.8960610629476098</v>
      </c>
      <c r="L824">
        <v>10883.030133092399</v>
      </c>
      <c r="M824">
        <v>250</v>
      </c>
      <c r="O824">
        <v>43.529335039544399</v>
      </c>
      <c r="P824">
        <v>0.71790667615376202</v>
      </c>
      <c r="Q824">
        <v>1.5</v>
      </c>
      <c r="R824">
        <v>-0.98660379525418596</v>
      </c>
      <c r="S824" t="s">
        <v>2698</v>
      </c>
      <c r="T824" t="s">
        <v>3746</v>
      </c>
      <c r="U824" t="s">
        <v>3746</v>
      </c>
      <c r="V824" t="s">
        <v>3746</v>
      </c>
      <c r="W824" t="s">
        <v>4561</v>
      </c>
      <c r="X824">
        <v>19</v>
      </c>
      <c r="Y824" t="s">
        <v>6374</v>
      </c>
      <c r="Z824" t="s">
        <v>8212</v>
      </c>
      <c r="AA824">
        <v>1.4410931253628649</v>
      </c>
      <c r="AB824" t="str">
        <f>HYPERLINK("Melting_Curves/meltCurve_P02675_FGB.pdf", "Melting_Curves/meltCurve_P02675_FGB.pdf")</f>
        <v>Melting_Curves/meltCurve_P02675_FGB.pdf</v>
      </c>
    </row>
    <row r="825" spans="1:28" x14ac:dyDescent="0.25">
      <c r="A825" t="s">
        <v>829</v>
      </c>
      <c r="B825">
        <v>1</v>
      </c>
      <c r="C825">
        <v>0.91213210651392396</v>
      </c>
      <c r="D825">
        <v>1.16421912132107</v>
      </c>
      <c r="E825">
        <v>1.15934434220949</v>
      </c>
      <c r="F825">
        <v>0.86332338065931402</v>
      </c>
      <c r="G825">
        <v>0.94698677716166002</v>
      </c>
      <c r="H825">
        <v>0.53742002315520099</v>
      </c>
      <c r="I825">
        <v>0.84193528730729394</v>
      </c>
      <c r="J825">
        <v>0.85783925415879603</v>
      </c>
      <c r="K825">
        <v>0.77990372311254597</v>
      </c>
      <c r="L825">
        <v>14323.5670002961</v>
      </c>
      <c r="M825">
        <v>250</v>
      </c>
      <c r="O825">
        <v>57.290601559985802</v>
      </c>
      <c r="P825">
        <v>-0.26806907123530399</v>
      </c>
      <c r="Q825">
        <v>0.75427458672803205</v>
      </c>
      <c r="R825">
        <v>0.51941591874745097</v>
      </c>
      <c r="S825" t="s">
        <v>2699</v>
      </c>
      <c r="T825" t="s">
        <v>3746</v>
      </c>
      <c r="U825" t="s">
        <v>3746</v>
      </c>
      <c r="V825" t="s">
        <v>3746</v>
      </c>
      <c r="W825" t="s">
        <v>4562</v>
      </c>
      <c r="X825">
        <v>6</v>
      </c>
      <c r="Y825" t="s">
        <v>6375</v>
      </c>
      <c r="Z825" t="s">
        <v>8213</v>
      </c>
      <c r="AA825">
        <v>0.89595399961405908</v>
      </c>
      <c r="AB825" t="str">
        <f>HYPERLINK("Melting_Curves/meltCurve_P02743_APCS.pdf", "Melting_Curves/meltCurve_P02743_APCS.pdf")</f>
        <v>Melting_Curves/meltCurve_P02743_APCS.pdf</v>
      </c>
    </row>
    <row r="826" spans="1:28" x14ac:dyDescent="0.25">
      <c r="A826" t="s">
        <v>830</v>
      </c>
      <c r="B826">
        <v>1</v>
      </c>
      <c r="C826">
        <v>1.04751973304242</v>
      </c>
      <c r="D826">
        <v>1.72588718475261</v>
      </c>
      <c r="E826">
        <v>2.52425720336264</v>
      </c>
      <c r="F826">
        <v>1.82468074183405</v>
      </c>
      <c r="G826">
        <v>2.2675993069370501</v>
      </c>
      <c r="H826">
        <v>1.3880510813065501</v>
      </c>
      <c r="I826">
        <v>2.4924918180067999</v>
      </c>
      <c r="J826">
        <v>2.55692100365783</v>
      </c>
      <c r="K826">
        <v>2.2816851697362499</v>
      </c>
      <c r="L826">
        <v>1.0000000000000001E-5</v>
      </c>
      <c r="M826">
        <v>25.977852804244002</v>
      </c>
      <c r="Q826">
        <v>1.5</v>
      </c>
      <c r="R826">
        <v>-0.51372425293230595</v>
      </c>
      <c r="S826" t="s">
        <v>2700</v>
      </c>
      <c r="T826" t="s">
        <v>3746</v>
      </c>
      <c r="U826" t="s">
        <v>3746</v>
      </c>
      <c r="V826" t="s">
        <v>3746</v>
      </c>
      <c r="W826" t="s">
        <v>4563</v>
      </c>
      <c r="X826">
        <v>16</v>
      </c>
      <c r="Y826" t="s">
        <v>6376</v>
      </c>
      <c r="Z826" t="s">
        <v>8214</v>
      </c>
      <c r="AA826">
        <v>1.4999999999973881</v>
      </c>
      <c r="AB826" t="str">
        <f>HYPERLINK("Melting_Curves/meltCurve_P02748_C9.pdf", "Melting_Curves/meltCurve_P02748_C9.pdf")</f>
        <v>Melting_Curves/meltCurve_P02748_C9.pdf</v>
      </c>
    </row>
    <row r="827" spans="1:28" x14ac:dyDescent="0.25">
      <c r="A827" t="s">
        <v>831</v>
      </c>
      <c r="B827">
        <v>1</v>
      </c>
      <c r="C827">
        <v>0.94744026124367198</v>
      </c>
      <c r="D827">
        <v>1.1135684296007</v>
      </c>
      <c r="E827">
        <v>1.2902016345007501</v>
      </c>
      <c r="F827">
        <v>0.79731153998997895</v>
      </c>
      <c r="G827">
        <v>1.0140988648340401</v>
      </c>
      <c r="H827">
        <v>0.49541268552274698</v>
      </c>
      <c r="I827">
        <v>0.85775005615356703</v>
      </c>
      <c r="J827">
        <v>0.83221314166249105</v>
      </c>
      <c r="K827">
        <v>0.754807609240285</v>
      </c>
      <c r="L827">
        <v>14651.948315311</v>
      </c>
      <c r="M827">
        <v>250</v>
      </c>
      <c r="O827">
        <v>58.6040426535017</v>
      </c>
      <c r="P827">
        <v>-0.28256516681310401</v>
      </c>
      <c r="Q827">
        <v>0.73504862245584801</v>
      </c>
      <c r="R827">
        <v>0.47263730707273199</v>
      </c>
      <c r="S827" t="s">
        <v>2701</v>
      </c>
      <c r="T827" t="s">
        <v>3746</v>
      </c>
      <c r="U827" t="s">
        <v>3746</v>
      </c>
      <c r="V827" t="s">
        <v>3746</v>
      </c>
      <c r="W827" t="s">
        <v>4564</v>
      </c>
      <c r="X827">
        <v>11</v>
      </c>
      <c r="Y827" t="s">
        <v>6377</v>
      </c>
      <c r="Z827" t="s">
        <v>8215</v>
      </c>
      <c r="AA827">
        <v>0.89941455615326193</v>
      </c>
      <c r="AB827" t="str">
        <f>HYPERLINK("Melting_Curves/meltCurve_P02749_APOH.pdf", "Melting_Curves/meltCurve_P02749_APOH.pdf")</f>
        <v>Melting_Curves/meltCurve_P02749_APOH.pdf</v>
      </c>
    </row>
    <row r="828" spans="1:28" x14ac:dyDescent="0.25">
      <c r="A828" t="s">
        <v>832</v>
      </c>
      <c r="B828">
        <v>1</v>
      </c>
      <c r="C828">
        <v>1.0408594513007201</v>
      </c>
      <c r="D828">
        <v>1.3963420047944599</v>
      </c>
      <c r="E828">
        <v>1.7261653200745799</v>
      </c>
      <c r="F828">
        <v>1.24595578442688</v>
      </c>
      <c r="G828">
        <v>1.61431235017313</v>
      </c>
      <c r="H828">
        <v>0.86758412501109805</v>
      </c>
      <c r="I828">
        <v>1.3996981266092501</v>
      </c>
      <c r="J828">
        <v>1.3523395187783001</v>
      </c>
      <c r="K828">
        <v>1.2380182899760299</v>
      </c>
      <c r="L828">
        <v>10812.5101790521</v>
      </c>
      <c r="M828">
        <v>250</v>
      </c>
      <c r="O828">
        <v>43.247272149101398</v>
      </c>
      <c r="P828">
        <v>0.51311320725902898</v>
      </c>
      <c r="Q828">
        <v>1.3550519508576999</v>
      </c>
      <c r="R828">
        <v>0.27611740661065898</v>
      </c>
      <c r="S828" t="s">
        <v>2702</v>
      </c>
      <c r="T828" t="s">
        <v>3746</v>
      </c>
      <c r="U828" t="s">
        <v>3746</v>
      </c>
      <c r="V828" t="s">
        <v>3746</v>
      </c>
      <c r="W828" t="s">
        <v>4565</v>
      </c>
      <c r="X828">
        <v>11</v>
      </c>
      <c r="Y828" t="s">
        <v>6378</v>
      </c>
      <c r="Z828" t="s">
        <v>8216</v>
      </c>
      <c r="AA828">
        <v>1.3165605580722941</v>
      </c>
      <c r="AB828" t="str">
        <f>HYPERLINK("Melting_Curves/meltCurve_P02750_LRG1.pdf", "Melting_Curves/meltCurve_P02750_LRG1.pdf")</f>
        <v>Melting_Curves/meltCurve_P02750_LRG1.pdf</v>
      </c>
    </row>
    <row r="829" spans="1:28" x14ac:dyDescent="0.25">
      <c r="A829" t="s">
        <v>833</v>
      </c>
      <c r="B829">
        <v>1</v>
      </c>
      <c r="C829">
        <v>1.16147395953535</v>
      </c>
      <c r="D829">
        <v>1.75128856065851</v>
      </c>
      <c r="E829">
        <v>1.95886863092033</v>
      </c>
      <c r="F829">
        <v>1.34446239454317</v>
      </c>
      <c r="G829">
        <v>1.29125317332102</v>
      </c>
      <c r="H829">
        <v>0.87815729415083199</v>
      </c>
      <c r="I829">
        <v>1.33971843987999</v>
      </c>
      <c r="J829">
        <v>1.32971767059005</v>
      </c>
      <c r="K829">
        <v>1.26513577967536</v>
      </c>
      <c r="L829">
        <v>10740.795783747501</v>
      </c>
      <c r="M829">
        <v>250</v>
      </c>
      <c r="O829">
        <v>42.960433700763502</v>
      </c>
      <c r="P829">
        <v>0.57440242749163095</v>
      </c>
      <c r="Q829">
        <v>1.39482523869187</v>
      </c>
      <c r="R829">
        <v>0.185658602930864</v>
      </c>
      <c r="S829" t="s">
        <v>2703</v>
      </c>
      <c r="T829" t="s">
        <v>3746</v>
      </c>
      <c r="U829" t="s">
        <v>3746</v>
      </c>
      <c r="V829" t="s">
        <v>3746</v>
      </c>
      <c r="W829" t="s">
        <v>4566</v>
      </c>
      <c r="X829">
        <v>56</v>
      </c>
      <c r="Y829" t="s">
        <v>6379</v>
      </c>
      <c r="Z829" t="s">
        <v>8217</v>
      </c>
      <c r="AA829">
        <v>1.3557974860106861</v>
      </c>
      <c r="AB829" t="str">
        <f>HYPERLINK("Melting_Curves/meltCurve_P02751_5_FN1.pdf", "Melting_Curves/meltCurve_P02751_5_FN1.pdf")</f>
        <v>Melting_Curves/meltCurve_P02751_5_FN1.pdf</v>
      </c>
    </row>
    <row r="830" spans="1:28" x14ac:dyDescent="0.25">
      <c r="A830" t="s">
        <v>834</v>
      </c>
      <c r="B830">
        <v>1</v>
      </c>
      <c r="C830">
        <v>1.05049436316538</v>
      </c>
      <c r="D830">
        <v>1.3548104637163001</v>
      </c>
      <c r="E830">
        <v>1.7963807508482601</v>
      </c>
      <c r="F830">
        <v>1.29161954102667</v>
      </c>
      <c r="G830">
        <v>1.45174942537123</v>
      </c>
      <c r="H830">
        <v>0.77255645955707997</v>
      </c>
      <c r="I830">
        <v>1.2743624356962999</v>
      </c>
      <c r="J830">
        <v>1.2014666715312501</v>
      </c>
      <c r="K830">
        <v>1.0487066292093801</v>
      </c>
      <c r="L830">
        <v>10788.808522735701</v>
      </c>
      <c r="M830">
        <v>250</v>
      </c>
      <c r="O830">
        <v>43.152456549138101</v>
      </c>
      <c r="P830">
        <v>0.39678570809827501</v>
      </c>
      <c r="Q830">
        <v>1.27395654960694</v>
      </c>
      <c r="R830">
        <v>0.139417712199007</v>
      </c>
      <c r="S830" t="s">
        <v>2704</v>
      </c>
      <c r="T830" t="s">
        <v>3746</v>
      </c>
      <c r="U830" t="s">
        <v>3746</v>
      </c>
      <c r="V830" t="s">
        <v>3746</v>
      </c>
      <c r="W830" t="s">
        <v>4567</v>
      </c>
      <c r="X830">
        <v>11</v>
      </c>
      <c r="Y830" t="s">
        <v>6380</v>
      </c>
      <c r="Z830" t="s">
        <v>8218</v>
      </c>
      <c r="AA830">
        <v>1.245122566195451</v>
      </c>
      <c r="AB830" t="str">
        <f>HYPERLINK("Melting_Curves/meltCurve_P02760_AMBP.pdf", "Melting_Curves/meltCurve_P02760_AMBP.pdf")</f>
        <v>Melting_Curves/meltCurve_P02760_AMBP.pdf</v>
      </c>
    </row>
    <row r="831" spans="1:28" x14ac:dyDescent="0.25">
      <c r="A831" t="s">
        <v>835</v>
      </c>
      <c r="B831">
        <v>1</v>
      </c>
      <c r="C831">
        <v>0.54711279007015601</v>
      </c>
      <c r="D831">
        <v>1.37706422018349</v>
      </c>
      <c r="E831">
        <v>0.61354560172692896</v>
      </c>
      <c r="F831">
        <v>1.2887209929843499</v>
      </c>
      <c r="G831">
        <v>0.90016189962223403</v>
      </c>
      <c r="H831">
        <v>0.424792228818133</v>
      </c>
      <c r="I831">
        <v>0.66535348084187795</v>
      </c>
      <c r="J831">
        <v>0.70766324878575304</v>
      </c>
      <c r="K831">
        <v>0.61629789530491097</v>
      </c>
      <c r="L831">
        <v>14312.0701915272</v>
      </c>
      <c r="M831">
        <v>250</v>
      </c>
      <c r="O831">
        <v>57.244617295732098</v>
      </c>
      <c r="P831">
        <v>-0.43287179865707398</v>
      </c>
      <c r="Q831">
        <v>0.60352671350504505</v>
      </c>
      <c r="R831">
        <v>0.31858616261622802</v>
      </c>
      <c r="S831" t="s">
        <v>2705</v>
      </c>
      <c r="T831" t="s">
        <v>3746</v>
      </c>
      <c r="U831" t="s">
        <v>3746</v>
      </c>
      <c r="V831" t="s">
        <v>3746</v>
      </c>
      <c r="W831" t="s">
        <v>4568</v>
      </c>
      <c r="X831">
        <v>10</v>
      </c>
      <c r="Y831" t="s">
        <v>6381</v>
      </c>
      <c r="Z831" t="s">
        <v>8219</v>
      </c>
      <c r="AA831">
        <v>0.83151596583763165</v>
      </c>
      <c r="AB831" t="str">
        <f>HYPERLINK("Melting_Curves/meltCurve_P02763_ORM1.pdf", "Melting_Curves/meltCurve_P02763_ORM1.pdf")</f>
        <v>Melting_Curves/meltCurve_P02763_ORM1.pdf</v>
      </c>
    </row>
    <row r="832" spans="1:28" x14ac:dyDescent="0.25">
      <c r="A832" t="s">
        <v>836</v>
      </c>
      <c r="B832">
        <v>1</v>
      </c>
      <c r="C832">
        <v>1.0977078523314201</v>
      </c>
      <c r="D832">
        <v>1.3401804203460801</v>
      </c>
      <c r="E832">
        <v>1.5442839121224401</v>
      </c>
      <c r="F832">
        <v>0.92574917287506298</v>
      </c>
      <c r="G832">
        <v>1.0541618070597201</v>
      </c>
      <c r="H832">
        <v>0.53577464118249096</v>
      </c>
      <c r="I832">
        <v>0.91965582081736597</v>
      </c>
      <c r="J832">
        <v>0.94938471425511195</v>
      </c>
      <c r="K832">
        <v>0.90406540832599402</v>
      </c>
      <c r="L832">
        <v>6598.9912925958697</v>
      </c>
      <c r="M832">
        <v>112.778890841647</v>
      </c>
      <c r="O832">
        <v>58.494277675951103</v>
      </c>
      <c r="P832">
        <v>-8.28462387302972E-2</v>
      </c>
      <c r="Q832">
        <v>0.82812284358439103</v>
      </c>
      <c r="R832">
        <v>0.16775886334117601</v>
      </c>
      <c r="S832" t="s">
        <v>2706</v>
      </c>
      <c r="T832" t="s">
        <v>3746</v>
      </c>
      <c r="U832" t="s">
        <v>3746</v>
      </c>
      <c r="V832" t="s">
        <v>3746</v>
      </c>
      <c r="W832" t="s">
        <v>4569</v>
      </c>
      <c r="X832">
        <v>9</v>
      </c>
      <c r="Y832" t="s">
        <v>6382</v>
      </c>
      <c r="Z832" t="s">
        <v>8220</v>
      </c>
      <c r="AA832">
        <v>0.9342730119163476</v>
      </c>
      <c r="AB832" t="str">
        <f>HYPERLINK("Melting_Curves/meltCurve_P02765_AHSG.pdf", "Melting_Curves/meltCurve_P02765_AHSG.pdf")</f>
        <v>Melting_Curves/meltCurve_P02765_AHSG.pdf</v>
      </c>
    </row>
    <row r="833" spans="1:28" x14ac:dyDescent="0.25">
      <c r="A833" t="s">
        <v>837</v>
      </c>
      <c r="B833">
        <v>1</v>
      </c>
      <c r="C833">
        <v>0.95764645950076399</v>
      </c>
      <c r="D833">
        <v>1.06642893530311</v>
      </c>
      <c r="E833">
        <v>1.1959246051961301</v>
      </c>
      <c r="F833">
        <v>1.0136729495669901</v>
      </c>
      <c r="G833">
        <v>1.2515537442689799</v>
      </c>
      <c r="H833">
        <v>0.53016811003566</v>
      </c>
      <c r="I833">
        <v>0.87535404992358601</v>
      </c>
      <c r="J833">
        <v>0.80838512480896596</v>
      </c>
      <c r="K833">
        <v>0.75172694854814104</v>
      </c>
      <c r="L833">
        <v>4513.9992614504999</v>
      </c>
      <c r="M833">
        <v>76.480593381861198</v>
      </c>
      <c r="O833">
        <v>58.981183351973797</v>
      </c>
      <c r="P833">
        <v>-8.2674005538918599E-2</v>
      </c>
      <c r="Q833">
        <v>0.74497007912593305</v>
      </c>
      <c r="R833">
        <v>0.53415358536114999</v>
      </c>
      <c r="S833" t="s">
        <v>2707</v>
      </c>
      <c r="T833" t="s">
        <v>3746</v>
      </c>
      <c r="U833" t="s">
        <v>3746</v>
      </c>
      <c r="V833" t="s">
        <v>3746</v>
      </c>
      <c r="W833" t="s">
        <v>4570</v>
      </c>
      <c r="X833">
        <v>7</v>
      </c>
      <c r="Y833" t="s">
        <v>6383</v>
      </c>
      <c r="Z833" t="s">
        <v>8221</v>
      </c>
      <c r="AA833">
        <v>0.90695460225987079</v>
      </c>
      <c r="AB833" t="str">
        <f>HYPERLINK("Melting_Curves/meltCurve_P02766_TTR.pdf", "Melting_Curves/meltCurve_P02766_TTR.pdf")</f>
        <v>Melting_Curves/meltCurve_P02766_TTR.pdf</v>
      </c>
    </row>
    <row r="834" spans="1:28" x14ac:dyDescent="0.25">
      <c r="A834" t="s">
        <v>838</v>
      </c>
      <c r="B834">
        <v>1</v>
      </c>
      <c r="C834">
        <v>1.48117918187056</v>
      </c>
      <c r="D834">
        <v>3.0004801229114699</v>
      </c>
      <c r="E834">
        <v>2.9852122143268698</v>
      </c>
      <c r="F834">
        <v>3.0106587286345299</v>
      </c>
      <c r="G834">
        <v>2.6583445362012701</v>
      </c>
      <c r="H834">
        <v>1.51680430190129</v>
      </c>
      <c r="I834">
        <v>2.4603418475129599</v>
      </c>
      <c r="J834">
        <v>2.4628384866525801</v>
      </c>
      <c r="K834">
        <v>2.2415018244670599</v>
      </c>
      <c r="L834">
        <v>785.75827729272498</v>
      </c>
      <c r="M834">
        <v>31.506160290609898</v>
      </c>
      <c r="Q834">
        <v>1.5</v>
      </c>
      <c r="R834">
        <v>-1.32280573455607</v>
      </c>
      <c r="S834" t="s">
        <v>2708</v>
      </c>
      <c r="T834" t="s">
        <v>3746</v>
      </c>
      <c r="U834" t="s">
        <v>3746</v>
      </c>
      <c r="V834" t="s">
        <v>3746</v>
      </c>
      <c r="W834" t="s">
        <v>4571</v>
      </c>
      <c r="X834">
        <v>31</v>
      </c>
      <c r="Y834" t="s">
        <v>6384</v>
      </c>
      <c r="Z834" t="s">
        <v>8222</v>
      </c>
      <c r="AA834">
        <v>1.4999997317426941</v>
      </c>
      <c r="AB834" t="str">
        <f>HYPERLINK("Melting_Curves/meltCurve_P02774_GC.pdf", "Melting_Curves/meltCurve_P02774_GC.pdf")</f>
        <v>Melting_Curves/meltCurve_P02774_GC.pdf</v>
      </c>
    </row>
    <row r="835" spans="1:28" x14ac:dyDescent="0.25">
      <c r="A835" t="s">
        <v>839</v>
      </c>
      <c r="B835">
        <v>1</v>
      </c>
      <c r="C835">
        <v>0.96366624337043405</v>
      </c>
      <c r="D835">
        <v>1.09652648091432</v>
      </c>
      <c r="E835">
        <v>1.00107567042653</v>
      </c>
      <c r="F835">
        <v>0.71004706058116096</v>
      </c>
      <c r="G835">
        <v>0.81053260625980394</v>
      </c>
      <c r="H835">
        <v>0.42668260252483797</v>
      </c>
      <c r="I835">
        <v>0.83038768954956299</v>
      </c>
      <c r="J835">
        <v>0.79509972361245995</v>
      </c>
      <c r="K835">
        <v>0.83240457159931303</v>
      </c>
      <c r="L835">
        <v>12797.879587846201</v>
      </c>
      <c r="M835">
        <v>250</v>
      </c>
      <c r="O835">
        <v>51.188257161251997</v>
      </c>
      <c r="P835">
        <v>-0.324555610462955</v>
      </c>
      <c r="Q835">
        <v>0.734185099622364</v>
      </c>
      <c r="R835">
        <v>0.58438685325014905</v>
      </c>
      <c r="S835" t="s">
        <v>2709</v>
      </c>
      <c r="T835" t="s">
        <v>3746</v>
      </c>
      <c r="U835" t="s">
        <v>3746</v>
      </c>
      <c r="V835" t="s">
        <v>3746</v>
      </c>
      <c r="W835" t="s">
        <v>4572</v>
      </c>
      <c r="X835">
        <v>1</v>
      </c>
      <c r="Y835" t="s">
        <v>6385</v>
      </c>
      <c r="Z835" t="s">
        <v>8223</v>
      </c>
      <c r="AA835">
        <v>0.83337139170580166</v>
      </c>
      <c r="AB835" t="str">
        <f>HYPERLINK("Melting_Curves/meltCurve_P02778_CXCL10.pdf", "Melting_Curves/meltCurve_P02778_CXCL10.pdf")</f>
        <v>Melting_Curves/meltCurve_P02778_CXCL10.pdf</v>
      </c>
    </row>
    <row r="836" spans="1:28" x14ac:dyDescent="0.25">
      <c r="A836" t="s">
        <v>840</v>
      </c>
      <c r="B836">
        <v>1</v>
      </c>
      <c r="C836">
        <v>1.1376231859055901</v>
      </c>
      <c r="D836">
        <v>1.45651564487956</v>
      </c>
      <c r="E836">
        <v>1.6630366808272099</v>
      </c>
      <c r="F836">
        <v>1.0890604446553001</v>
      </c>
      <c r="G836">
        <v>1.27250770922735</v>
      </c>
      <c r="H836">
        <v>0.75975244215383997</v>
      </c>
      <c r="I836">
        <v>1.12699199965497</v>
      </c>
      <c r="J836">
        <v>1.1159510922303899</v>
      </c>
      <c r="K836">
        <v>1.03883725443685</v>
      </c>
      <c r="L836">
        <v>1.0000000000000001E-5</v>
      </c>
      <c r="M836">
        <v>1.0000000000000001E-5</v>
      </c>
      <c r="Q836">
        <v>1.3320536589835299</v>
      </c>
      <c r="R836">
        <v>-5.9749183378698903E-9</v>
      </c>
      <c r="S836" t="s">
        <v>2710</v>
      </c>
      <c r="T836" t="s">
        <v>3746</v>
      </c>
      <c r="U836" t="s">
        <v>3746</v>
      </c>
      <c r="V836" t="s">
        <v>3746</v>
      </c>
      <c r="W836" t="s">
        <v>4573</v>
      </c>
      <c r="X836">
        <v>43</v>
      </c>
      <c r="Y836" t="s">
        <v>6386</v>
      </c>
      <c r="Z836" t="s">
        <v>8224</v>
      </c>
      <c r="AA836">
        <v>1.1660276441407069</v>
      </c>
      <c r="AB836" t="str">
        <f>HYPERLINK("Melting_Curves/meltCurve_P02787_TF.pdf", "Melting_Curves/meltCurve_P02787_TF.pdf")</f>
        <v>Melting_Curves/meltCurve_P02787_TF.pdf</v>
      </c>
    </row>
    <row r="837" spans="1:28" x14ac:dyDescent="0.25">
      <c r="A837" t="s">
        <v>841</v>
      </c>
      <c r="B837">
        <v>1</v>
      </c>
      <c r="C837">
        <v>0.88494820751097703</v>
      </c>
      <c r="D837">
        <v>2.2756724498060401</v>
      </c>
      <c r="E837">
        <v>3.2895690353382498</v>
      </c>
      <c r="F837">
        <v>1.5930133424272099</v>
      </c>
      <c r="G837">
        <v>2.4476746664393199</v>
      </c>
      <c r="H837">
        <v>1.11021356409054</v>
      </c>
      <c r="I837">
        <v>2.0881751140287301</v>
      </c>
      <c r="J837">
        <v>1.7849865723176599</v>
      </c>
      <c r="K837">
        <v>1.99477812353468</v>
      </c>
      <c r="L837">
        <v>1.0000000000000001E-5</v>
      </c>
      <c r="M837">
        <v>25.922947529678002</v>
      </c>
      <c r="Q837">
        <v>1.5</v>
      </c>
      <c r="R837">
        <v>-0.24263719568842301</v>
      </c>
      <c r="S837" t="s">
        <v>2711</v>
      </c>
      <c r="T837" t="s">
        <v>3746</v>
      </c>
      <c r="U837" t="s">
        <v>3746</v>
      </c>
      <c r="V837" t="s">
        <v>3746</v>
      </c>
      <c r="W837" t="s">
        <v>4574</v>
      </c>
      <c r="X837">
        <v>83</v>
      </c>
      <c r="Y837" t="s">
        <v>6387</v>
      </c>
      <c r="Z837" t="s">
        <v>8225</v>
      </c>
      <c r="AA837">
        <v>1.4999999999972411</v>
      </c>
      <c r="AB837" t="str">
        <f>HYPERLINK("Melting_Curves/meltCurve_P02788_LTF.pdf", "Melting_Curves/meltCurve_P02788_LTF.pdf")</f>
        <v>Melting_Curves/meltCurve_P02788_LTF.pdf</v>
      </c>
    </row>
    <row r="838" spans="1:28" x14ac:dyDescent="0.25">
      <c r="A838" t="s">
        <v>842</v>
      </c>
      <c r="B838">
        <v>1</v>
      </c>
      <c r="C838">
        <v>1.09024690190143</v>
      </c>
      <c r="D838">
        <v>1.40554346797843</v>
      </c>
      <c r="E838">
        <v>1.6385394002459599</v>
      </c>
      <c r="F838">
        <v>1.2833222968498701</v>
      </c>
      <c r="G838">
        <v>1.42247658688866</v>
      </c>
      <c r="H838">
        <v>0.81808721975215204</v>
      </c>
      <c r="I838">
        <v>1.21767098666162</v>
      </c>
      <c r="J838">
        <v>1.1596821492763201</v>
      </c>
      <c r="K838">
        <v>1.0759625390218499</v>
      </c>
      <c r="L838">
        <v>10750.207889253699</v>
      </c>
      <c r="M838">
        <v>250</v>
      </c>
      <c r="O838">
        <v>42.998057200519199</v>
      </c>
      <c r="P838">
        <v>0.36725561352533098</v>
      </c>
      <c r="Q838">
        <v>1.2526605795675101</v>
      </c>
      <c r="R838">
        <v>0.14453263091239399</v>
      </c>
      <c r="S838" t="s">
        <v>2712</v>
      </c>
      <c r="T838" t="s">
        <v>3746</v>
      </c>
      <c r="U838" t="s">
        <v>3746</v>
      </c>
      <c r="V838" t="s">
        <v>3746</v>
      </c>
      <c r="W838" t="s">
        <v>4575</v>
      </c>
      <c r="X838">
        <v>15</v>
      </c>
      <c r="Y838" t="s">
        <v>6388</v>
      </c>
      <c r="Z838" t="s">
        <v>8226</v>
      </c>
      <c r="AA838">
        <v>1.2273684509823359</v>
      </c>
      <c r="AB838" t="str">
        <f>HYPERLINK("Melting_Curves/meltCurve_P02790_HPX.pdf", "Melting_Curves/meltCurve_P02790_HPX.pdf")</f>
        <v>Melting_Curves/meltCurve_P02790_HPX.pdf</v>
      </c>
    </row>
    <row r="839" spans="1:28" x14ac:dyDescent="0.25">
      <c r="A839" t="s">
        <v>843</v>
      </c>
      <c r="B839">
        <v>1</v>
      </c>
      <c r="C839">
        <v>1.0090543259557301</v>
      </c>
      <c r="D839">
        <v>1.2832609693247199</v>
      </c>
      <c r="E839">
        <v>1.1542588866532499</v>
      </c>
      <c r="F839">
        <v>0.85258921952769295</v>
      </c>
      <c r="G839">
        <v>1.0877722475202101</v>
      </c>
      <c r="H839">
        <v>0.39316601362561299</v>
      </c>
      <c r="I839">
        <v>0.92350594796851304</v>
      </c>
      <c r="J839">
        <v>0.80378763810935805</v>
      </c>
      <c r="K839">
        <v>0.71165590031416603</v>
      </c>
      <c r="L839">
        <v>4821.9295057529398</v>
      </c>
      <c r="M839">
        <v>82.392728032448304</v>
      </c>
      <c r="O839">
        <v>58.489298073640299</v>
      </c>
      <c r="P839">
        <v>-0.101720508162239</v>
      </c>
      <c r="Q839">
        <v>0.71116100053257203</v>
      </c>
      <c r="R839">
        <v>0.471329521099909</v>
      </c>
      <c r="S839" t="s">
        <v>2713</v>
      </c>
      <c r="T839" t="s">
        <v>3746</v>
      </c>
      <c r="U839" t="s">
        <v>3746</v>
      </c>
      <c r="V839" t="s">
        <v>3746</v>
      </c>
      <c r="W839" t="s">
        <v>4576</v>
      </c>
      <c r="X839">
        <v>4</v>
      </c>
      <c r="Y839" t="s">
        <v>6389</v>
      </c>
      <c r="Z839" t="s">
        <v>8227</v>
      </c>
      <c r="AA839">
        <v>0.88978043482999625</v>
      </c>
      <c r="AB839" t="str">
        <f>HYPERLINK("Melting_Curves/meltCurve_P02792_FTL.pdf", "Melting_Curves/meltCurve_P02792_FTL.pdf")</f>
        <v>Melting_Curves/meltCurve_P02792_FTL.pdf</v>
      </c>
    </row>
    <row r="840" spans="1:28" x14ac:dyDescent="0.25">
      <c r="A840" t="s">
        <v>844</v>
      </c>
      <c r="B840">
        <v>1</v>
      </c>
      <c r="C840">
        <v>0.88584226389819198</v>
      </c>
      <c r="D840">
        <v>1.08238446081715</v>
      </c>
      <c r="E840">
        <v>1.1472705961152001</v>
      </c>
      <c r="F840">
        <v>0.83686369725385101</v>
      </c>
      <c r="G840">
        <v>0.96069156061620897</v>
      </c>
      <c r="H840">
        <v>0.45805425318151399</v>
      </c>
      <c r="I840">
        <v>0.88923308774279997</v>
      </c>
      <c r="J840">
        <v>0.79202947086403197</v>
      </c>
      <c r="K840">
        <v>0.76938211654387101</v>
      </c>
      <c r="L840">
        <v>14351.5620537794</v>
      </c>
      <c r="M840">
        <v>250</v>
      </c>
      <c r="O840">
        <v>57.402574609368202</v>
      </c>
      <c r="P840">
        <v>-0.29705248535987899</v>
      </c>
      <c r="Q840">
        <v>0.72717476112303003</v>
      </c>
      <c r="R840">
        <v>0.48147785551300598</v>
      </c>
      <c r="S840" t="s">
        <v>2714</v>
      </c>
      <c r="T840" t="s">
        <v>3746</v>
      </c>
      <c r="U840" t="s">
        <v>3746</v>
      </c>
      <c r="V840" t="s">
        <v>3746</v>
      </c>
      <c r="W840" t="s">
        <v>4577</v>
      </c>
      <c r="X840">
        <v>11</v>
      </c>
      <c r="Y840" t="s">
        <v>6390</v>
      </c>
      <c r="Z840" t="s">
        <v>8228</v>
      </c>
      <c r="AA840">
        <v>0.88549770837510755</v>
      </c>
      <c r="AB840" t="str">
        <f>HYPERLINK("Melting_Curves/meltCurve_P02794_FTH1.pdf", "Melting_Curves/meltCurve_P02794_FTH1.pdf")</f>
        <v>Melting_Curves/meltCurve_P02794_FTH1.pdf</v>
      </c>
    </row>
    <row r="841" spans="1:28" x14ac:dyDescent="0.25">
      <c r="A841" t="s">
        <v>845</v>
      </c>
      <c r="B841">
        <v>1</v>
      </c>
      <c r="C841">
        <v>0.71027309458516596</v>
      </c>
      <c r="D841">
        <v>0.68288250279909801</v>
      </c>
      <c r="E841">
        <v>0.51276226329368602</v>
      </c>
      <c r="F841">
        <v>0.23530270822853599</v>
      </c>
      <c r="G841">
        <v>0.210102714719198</v>
      </c>
      <c r="H841">
        <v>0.201956934460545</v>
      </c>
      <c r="I841">
        <v>0.52420205429438405</v>
      </c>
      <c r="J841">
        <v>0.48813020267090701</v>
      </c>
      <c r="K841">
        <v>0.582293475262466</v>
      </c>
      <c r="L841">
        <v>899.25404086835897</v>
      </c>
      <c r="M841">
        <v>20.174350936474902</v>
      </c>
      <c r="N841">
        <v>48.054434573576103</v>
      </c>
      <c r="O841">
        <v>44.143097677593701</v>
      </c>
      <c r="P841">
        <v>-7.0382247287324895E-2</v>
      </c>
      <c r="Q841">
        <v>0.384011370325756</v>
      </c>
      <c r="R841">
        <v>0.67011459547498498</v>
      </c>
      <c r="S841" t="s">
        <v>2715</v>
      </c>
      <c r="T841" t="s">
        <v>3746</v>
      </c>
      <c r="U841" t="s">
        <v>3746</v>
      </c>
      <c r="V841" t="s">
        <v>3746</v>
      </c>
      <c r="W841" t="s">
        <v>4578</v>
      </c>
      <c r="X841">
        <v>1</v>
      </c>
      <c r="Y841" t="s">
        <v>6391</v>
      </c>
      <c r="Z841" t="s">
        <v>8229</v>
      </c>
      <c r="AA841">
        <v>0.4887024682087715</v>
      </c>
      <c r="AB841" t="str">
        <f>HYPERLINK("Melting_Curves/meltCurve_P02810_PRH1.pdf", "Melting_Curves/meltCurve_P02810_PRH1.pdf")</f>
        <v>Melting_Curves/meltCurve_P02810_PRH1.pdf</v>
      </c>
    </row>
    <row r="842" spans="1:28" x14ac:dyDescent="0.25">
      <c r="A842" t="s">
        <v>846</v>
      </c>
      <c r="B842">
        <v>1</v>
      </c>
      <c r="C842">
        <v>1.0396651385290001</v>
      </c>
      <c r="D842">
        <v>1.0842468938940899</v>
      </c>
      <c r="E842">
        <v>1.0548800744136599</v>
      </c>
      <c r="F842">
        <v>0.93721347418776202</v>
      </c>
      <c r="G842">
        <v>0.93834296724470101</v>
      </c>
      <c r="H842">
        <v>0.46438774832237101</v>
      </c>
      <c r="I842">
        <v>0.86904524616304601</v>
      </c>
      <c r="J842">
        <v>0.86871304232276902</v>
      </c>
      <c r="K842">
        <v>0.66467344362500802</v>
      </c>
      <c r="L842">
        <v>14322.928722098901</v>
      </c>
      <c r="M842">
        <v>250</v>
      </c>
      <c r="O842">
        <v>57.288048612597002</v>
      </c>
      <c r="P842">
        <v>-0.30906873275105001</v>
      </c>
      <c r="Q842">
        <v>0.71670488701741397</v>
      </c>
      <c r="R842">
        <v>0.61897324122528696</v>
      </c>
      <c r="S842" t="s">
        <v>2716</v>
      </c>
      <c r="T842" t="s">
        <v>3746</v>
      </c>
      <c r="U842" t="s">
        <v>3746</v>
      </c>
      <c r="V842" t="s">
        <v>3746</v>
      </c>
      <c r="W842" t="s">
        <v>4579</v>
      </c>
      <c r="X842">
        <v>1</v>
      </c>
      <c r="Y842" t="s">
        <v>6392</v>
      </c>
      <c r="Z842" t="s">
        <v>8230</v>
      </c>
      <c r="AA842">
        <v>0.88002198199278958</v>
      </c>
      <c r="AB842" t="str">
        <f>HYPERLINK("Melting_Curves/meltCurve_P02814_SMR3B.pdf", "Melting_Curves/meltCurve_P02814_SMR3B.pdf")</f>
        <v>Melting_Curves/meltCurve_P02814_SMR3B.pdf</v>
      </c>
    </row>
    <row r="843" spans="1:28" x14ac:dyDescent="0.25">
      <c r="A843" t="s">
        <v>847</v>
      </c>
      <c r="B843">
        <v>1</v>
      </c>
      <c r="C843">
        <v>1.0411947479202199</v>
      </c>
      <c r="D843">
        <v>1.3919013731582599</v>
      </c>
      <c r="E843">
        <v>1.65360328756139</v>
      </c>
      <c r="F843">
        <v>0.88832314322942796</v>
      </c>
      <c r="G843">
        <v>1.0231532524807101</v>
      </c>
      <c r="H843">
        <v>0.73370752731281996</v>
      </c>
      <c r="I843">
        <v>1.04680765761251</v>
      </c>
      <c r="J843">
        <v>1.0794828104640699</v>
      </c>
      <c r="K843">
        <v>1.02896662323344</v>
      </c>
      <c r="L843">
        <v>10744.2664815755</v>
      </c>
      <c r="M843">
        <v>250</v>
      </c>
      <c r="O843">
        <v>42.974315610004503</v>
      </c>
      <c r="P843">
        <v>0.153788376103731</v>
      </c>
      <c r="Q843">
        <v>1.1057432034354899</v>
      </c>
      <c r="R843">
        <v>2.0849645242332099E-2</v>
      </c>
      <c r="S843" t="s">
        <v>2717</v>
      </c>
      <c r="T843" t="s">
        <v>3746</v>
      </c>
      <c r="U843" t="s">
        <v>3746</v>
      </c>
      <c r="V843" t="s">
        <v>3746</v>
      </c>
      <c r="W843" t="s">
        <v>4580</v>
      </c>
      <c r="X843">
        <v>8</v>
      </c>
      <c r="Y843" t="s">
        <v>6393</v>
      </c>
      <c r="Z843" t="s">
        <v>8231</v>
      </c>
      <c r="AA843">
        <v>1.095241744917854</v>
      </c>
      <c r="AB843" t="str">
        <f>HYPERLINK("Melting_Curves/meltCurve_P03950_ANG.pdf", "Melting_Curves/meltCurve_P03950_ANG.pdf")</f>
        <v>Melting_Curves/meltCurve_P03950_ANG.pdf</v>
      </c>
    </row>
    <row r="844" spans="1:28" x14ac:dyDescent="0.25">
      <c r="A844" t="s">
        <v>848</v>
      </c>
      <c r="B844">
        <v>1</v>
      </c>
      <c r="C844">
        <v>1.0012872379551301</v>
      </c>
      <c r="D844">
        <v>1.4892239794041899</v>
      </c>
      <c r="E844">
        <v>1.3151526296432501</v>
      </c>
      <c r="F844">
        <v>1.08473703567488</v>
      </c>
      <c r="G844">
        <v>1.3073924236851799</v>
      </c>
      <c r="H844">
        <v>0.88561971312982701</v>
      </c>
      <c r="I844">
        <v>1.26557557925708</v>
      </c>
      <c r="J844">
        <v>1.35012872379551</v>
      </c>
      <c r="K844">
        <v>1.2015814637734501</v>
      </c>
      <c r="L844">
        <v>10942.2316281695</v>
      </c>
      <c r="M844">
        <v>250</v>
      </c>
      <c r="O844">
        <v>43.766125758028402</v>
      </c>
      <c r="P844">
        <v>0.339055419896299</v>
      </c>
      <c r="Q844">
        <v>1.23742627315737</v>
      </c>
      <c r="R844">
        <v>0.27525063923763099</v>
      </c>
      <c r="S844" t="s">
        <v>2718</v>
      </c>
      <c r="T844" t="s">
        <v>3746</v>
      </c>
      <c r="U844" t="s">
        <v>3746</v>
      </c>
      <c r="V844" t="s">
        <v>3746</v>
      </c>
      <c r="W844" t="s">
        <v>4581</v>
      </c>
      <c r="X844">
        <v>12</v>
      </c>
      <c r="Y844" t="s">
        <v>6394</v>
      </c>
      <c r="Z844" t="s">
        <v>8232</v>
      </c>
      <c r="AA844">
        <v>1.207579963023004</v>
      </c>
      <c r="AB844" t="str">
        <f>HYPERLINK("Melting_Curves/meltCurve_P04003_C4BPA.pdf", "Melting_Curves/meltCurve_P04003_C4BPA.pdf")</f>
        <v>Melting_Curves/meltCurve_P04003_C4BPA.pdf</v>
      </c>
    </row>
    <row r="845" spans="1:28" x14ac:dyDescent="0.25">
      <c r="A845" t="s">
        <v>849</v>
      </c>
      <c r="B845">
        <v>1</v>
      </c>
      <c r="C845">
        <v>1.10678264401273</v>
      </c>
      <c r="D845">
        <v>1.8758884451364</v>
      </c>
      <c r="E845">
        <v>3.0722940499560001</v>
      </c>
      <c r="F845">
        <v>2.88814052663643</v>
      </c>
      <c r="G845">
        <v>3.1192377986867901</v>
      </c>
      <c r="H845">
        <v>2.0803492858593402</v>
      </c>
      <c r="I845">
        <v>3.1038719285182399</v>
      </c>
      <c r="J845">
        <v>3.3348676639815902</v>
      </c>
      <c r="K845">
        <v>3.0186488864820999</v>
      </c>
      <c r="L845">
        <v>10780.9228561785</v>
      </c>
      <c r="M845">
        <v>250</v>
      </c>
      <c r="O845">
        <v>43.120931796083603</v>
      </c>
      <c r="P845">
        <v>0.72470604729877697</v>
      </c>
      <c r="Q845">
        <v>1.5</v>
      </c>
      <c r="R845">
        <v>-1.2709604966968799</v>
      </c>
      <c r="S845" t="s">
        <v>2719</v>
      </c>
      <c r="T845" t="s">
        <v>3746</v>
      </c>
      <c r="U845" t="s">
        <v>3746</v>
      </c>
      <c r="V845" t="s">
        <v>3746</v>
      </c>
      <c r="W845" t="s">
        <v>4582</v>
      </c>
      <c r="X845">
        <v>10</v>
      </c>
      <c r="Y845" t="s">
        <v>6395</v>
      </c>
      <c r="Z845" t="s">
        <v>8233</v>
      </c>
      <c r="AA845">
        <v>1.447900635542964</v>
      </c>
      <c r="AB845" t="str">
        <f>HYPERLINK("Melting_Curves/meltCurve_P04004_VTN.pdf", "Melting_Curves/meltCurve_P04004_VTN.pdf")</f>
        <v>Melting_Curves/meltCurve_P04004_VTN.pdf</v>
      </c>
    </row>
    <row r="846" spans="1:28" x14ac:dyDescent="0.25">
      <c r="A846" t="s">
        <v>850</v>
      </c>
      <c r="B846">
        <v>1</v>
      </c>
      <c r="C846">
        <v>1.3542377365321201</v>
      </c>
      <c r="D846">
        <v>2.21153176735961</v>
      </c>
      <c r="E846">
        <v>2.74161433603921</v>
      </c>
      <c r="F846">
        <v>2.3678970745902901</v>
      </c>
      <c r="G846">
        <v>2.4071624500480402</v>
      </c>
      <c r="H846">
        <v>1.4021359250337699</v>
      </c>
      <c r="I846">
        <v>2.0317743215583599</v>
      </c>
      <c r="J846">
        <v>2.1836839833470201</v>
      </c>
      <c r="K846">
        <v>1.9822052660159599</v>
      </c>
      <c r="L846">
        <v>10686.905145257801</v>
      </c>
      <c r="M846">
        <v>250</v>
      </c>
      <c r="O846">
        <v>42.744885062857897</v>
      </c>
      <c r="P846">
        <v>0.73108162589063097</v>
      </c>
      <c r="Q846">
        <v>1.5</v>
      </c>
      <c r="R846">
        <v>-0.71276029682563502</v>
      </c>
      <c r="S846" t="s">
        <v>2720</v>
      </c>
      <c r="T846" t="s">
        <v>3746</v>
      </c>
      <c r="U846" t="s">
        <v>3746</v>
      </c>
      <c r="V846" t="s">
        <v>3746</v>
      </c>
      <c r="W846" t="s">
        <v>4583</v>
      </c>
      <c r="X846">
        <v>14</v>
      </c>
      <c r="Y846" t="s">
        <v>6396</v>
      </c>
      <c r="Z846" t="s">
        <v>8234</v>
      </c>
      <c r="AA846">
        <v>1.45416881285879</v>
      </c>
      <c r="AB846" t="str">
        <f>HYPERLINK("Melting_Curves/meltCurve_P04040_CAT.pdf", "Melting_Curves/meltCurve_P04040_CAT.pdf")</f>
        <v>Melting_Curves/meltCurve_P04040_CAT.pdf</v>
      </c>
    </row>
    <row r="847" spans="1:28" x14ac:dyDescent="0.25">
      <c r="A847" t="s">
        <v>851</v>
      </c>
      <c r="B847">
        <v>1</v>
      </c>
      <c r="C847">
        <v>1.0068984547461399</v>
      </c>
      <c r="D847">
        <v>1.2353095763691799</v>
      </c>
      <c r="E847">
        <v>2.0804425522968599</v>
      </c>
      <c r="F847">
        <v>2.40105644906969</v>
      </c>
      <c r="G847">
        <v>3.0404446546830699</v>
      </c>
      <c r="H847">
        <v>2.3542783559339902</v>
      </c>
      <c r="I847">
        <v>2.9514874382424101</v>
      </c>
      <c r="J847">
        <v>3.1073268159360898</v>
      </c>
      <c r="K847">
        <v>2.8576684536949402</v>
      </c>
      <c r="L847">
        <v>11505.4123091155</v>
      </c>
      <c r="M847">
        <v>250</v>
      </c>
      <c r="O847">
        <v>46.018703961759002</v>
      </c>
      <c r="P847">
        <v>0.67907170811615802</v>
      </c>
      <c r="Q847">
        <v>1.5</v>
      </c>
      <c r="R847">
        <v>-0.68535486147533697</v>
      </c>
      <c r="S847" t="s">
        <v>2721</v>
      </c>
      <c r="T847" t="s">
        <v>3746</v>
      </c>
      <c r="U847" t="s">
        <v>3746</v>
      </c>
      <c r="V847" t="s">
        <v>3746</v>
      </c>
      <c r="W847" t="s">
        <v>4584</v>
      </c>
      <c r="X847">
        <v>5</v>
      </c>
      <c r="Y847" t="s">
        <v>6397</v>
      </c>
      <c r="Z847" t="s">
        <v>8235</v>
      </c>
      <c r="AA847">
        <v>1.3995987957532221</v>
      </c>
      <c r="AB847" t="str">
        <f>HYPERLINK("Melting_Curves/meltCurve_P04066_FUCA1.pdf", "Melting_Curves/meltCurve_P04066_FUCA1.pdf")</f>
        <v>Melting_Curves/meltCurve_P04066_FUCA1.pdf</v>
      </c>
    </row>
    <row r="848" spans="1:28" x14ac:dyDescent="0.25">
      <c r="A848" t="s">
        <v>852</v>
      </c>
      <c r="B848">
        <v>1</v>
      </c>
      <c r="C848">
        <v>1.08248556502612</v>
      </c>
      <c r="D848">
        <v>1.3866510860599399</v>
      </c>
      <c r="E848">
        <v>1.5626202914489999</v>
      </c>
      <c r="F848">
        <v>1.2859499587572201</v>
      </c>
      <c r="G848">
        <v>1.4244569700302401</v>
      </c>
      <c r="H848">
        <v>0.47895930712125401</v>
      </c>
      <c r="I848">
        <v>1.16387132251856</v>
      </c>
      <c r="J848">
        <v>1.1712262854000599</v>
      </c>
      <c r="K848">
        <v>1.110530657135</v>
      </c>
      <c r="L848">
        <v>10739.459824571</v>
      </c>
      <c r="M848">
        <v>250</v>
      </c>
      <c r="O848">
        <v>42.955090219126802</v>
      </c>
      <c r="P848">
        <v>0.28813993787037001</v>
      </c>
      <c r="Q848">
        <v>1.19803323248674</v>
      </c>
      <c r="R848">
        <v>5.3630592471986101E-2</v>
      </c>
      <c r="S848" t="s">
        <v>2722</v>
      </c>
      <c r="T848" t="s">
        <v>3746</v>
      </c>
      <c r="U848" t="s">
        <v>3746</v>
      </c>
      <c r="V848" t="s">
        <v>3746</v>
      </c>
      <c r="W848" t="s">
        <v>4585</v>
      </c>
      <c r="X848">
        <v>5</v>
      </c>
      <c r="Y848" t="s">
        <v>6398</v>
      </c>
      <c r="Z848" t="s">
        <v>8236</v>
      </c>
      <c r="AA848">
        <v>1.1784932867711411</v>
      </c>
      <c r="AB848" t="str">
        <f>HYPERLINK("Melting_Curves/meltCurve_P04080_CSTB.pdf", "Melting_Curves/meltCurve_P04080_CSTB.pdf")</f>
        <v>Melting_Curves/meltCurve_P04080_CSTB.pdf</v>
      </c>
    </row>
    <row r="849" spans="1:28" x14ac:dyDescent="0.25">
      <c r="A849" t="s">
        <v>853</v>
      </c>
      <c r="B849">
        <v>1</v>
      </c>
      <c r="C849">
        <v>0.97731978166760802</v>
      </c>
      <c r="D849">
        <v>1.2675512892904199</v>
      </c>
      <c r="E849">
        <v>1.3867871259175599</v>
      </c>
      <c r="F849">
        <v>1.0911914172783701</v>
      </c>
      <c r="G849">
        <v>1.09213250517598</v>
      </c>
      <c r="H849">
        <v>0.66877470355731194</v>
      </c>
      <c r="I849">
        <v>1.0472426124600001</v>
      </c>
      <c r="J849">
        <v>1.05213626952757</v>
      </c>
      <c r="K849">
        <v>0.93733295689817397</v>
      </c>
      <c r="L849">
        <v>11052.1732432398</v>
      </c>
      <c r="M849">
        <v>250</v>
      </c>
      <c r="O849">
        <v>44.205865608167699</v>
      </c>
      <c r="P849">
        <v>9.5942698286574105E-2</v>
      </c>
      <c r="Q849">
        <v>1.0678596777395899</v>
      </c>
      <c r="R849">
        <v>2.9649411313958499E-2</v>
      </c>
      <c r="S849" t="s">
        <v>2723</v>
      </c>
      <c r="T849" t="s">
        <v>3746</v>
      </c>
      <c r="U849" t="s">
        <v>3746</v>
      </c>
      <c r="V849" t="s">
        <v>3746</v>
      </c>
      <c r="W849" t="s">
        <v>4586</v>
      </c>
      <c r="X849">
        <v>85</v>
      </c>
      <c r="Y849" t="s">
        <v>6399</v>
      </c>
      <c r="Z849" t="s">
        <v>8237</v>
      </c>
      <c r="AA849">
        <v>1.058334394512962</v>
      </c>
      <c r="AB849" t="str">
        <f>HYPERLINK("Melting_Curves/meltCurve_P04114_APOB.pdf", "Melting_Curves/meltCurve_P04114_APOB.pdf")</f>
        <v>Melting_Curves/meltCurve_P04114_APOB.pdf</v>
      </c>
    </row>
    <row r="850" spans="1:28" x14ac:dyDescent="0.25">
      <c r="A850" t="s">
        <v>854</v>
      </c>
      <c r="B850">
        <v>1</v>
      </c>
      <c r="C850">
        <v>1.1133121170790801</v>
      </c>
      <c r="D850">
        <v>1.5008334957026299</v>
      </c>
      <c r="E850">
        <v>1.6667749128618099</v>
      </c>
      <c r="F850">
        <v>1.1437292979151801</v>
      </c>
      <c r="G850">
        <v>1.1664609988958901</v>
      </c>
      <c r="H850">
        <v>0.87895910458747395</v>
      </c>
      <c r="I850">
        <v>1.15011582342881</v>
      </c>
      <c r="J850">
        <v>1.0830031824381401</v>
      </c>
      <c r="K850">
        <v>1.0949102639042201</v>
      </c>
      <c r="L850">
        <v>1.0000000000000001E-5</v>
      </c>
      <c r="M850">
        <v>2.2788330615136701E-2</v>
      </c>
      <c r="Q850">
        <v>1.3555481187684399</v>
      </c>
      <c r="R850">
        <v>-8.4417499657263306E-9</v>
      </c>
      <c r="S850" t="s">
        <v>2724</v>
      </c>
      <c r="T850" t="s">
        <v>3746</v>
      </c>
      <c r="U850" t="s">
        <v>3746</v>
      </c>
      <c r="V850" t="s">
        <v>3746</v>
      </c>
      <c r="W850" t="s">
        <v>4587</v>
      </c>
      <c r="X850">
        <v>8</v>
      </c>
      <c r="Y850" t="s">
        <v>6400</v>
      </c>
      <c r="Z850" t="s">
        <v>8238</v>
      </c>
      <c r="AA850">
        <v>1.1797995421714531</v>
      </c>
      <c r="AB850" t="str">
        <f>HYPERLINK("Melting_Curves/meltCurve_P04196_HRG.pdf", "Melting_Curves/meltCurve_P04196_HRG.pdf")</f>
        <v>Melting_Curves/meltCurve_P04196_HRG.pdf</v>
      </c>
    </row>
    <row r="851" spans="1:28" x14ac:dyDescent="0.25">
      <c r="A851" t="s">
        <v>855</v>
      </c>
      <c r="B851">
        <v>1</v>
      </c>
      <c r="C851">
        <v>1.08625502720606</v>
      </c>
      <c r="D851">
        <v>1.4147149278448099</v>
      </c>
      <c r="E851">
        <v>1.42422521883132</v>
      </c>
      <c r="F851">
        <v>1.0094156612254599</v>
      </c>
      <c r="G851">
        <v>1.26411166311805</v>
      </c>
      <c r="H851">
        <v>0.609652235628105</v>
      </c>
      <c r="I851">
        <v>1.0249822569197999</v>
      </c>
      <c r="J851">
        <v>0.92789212207239202</v>
      </c>
      <c r="K851">
        <v>0.91407617695765297</v>
      </c>
      <c r="L851">
        <v>2337.3330925445498</v>
      </c>
      <c r="M851">
        <v>39.560378709452699</v>
      </c>
      <c r="O851">
        <v>58.9323327259374</v>
      </c>
      <c r="P851">
        <v>-1.8227216934508499E-2</v>
      </c>
      <c r="Q851">
        <v>0.89138934413759396</v>
      </c>
      <c r="R851">
        <v>-6.3152107222794697E-3</v>
      </c>
      <c r="S851" t="s">
        <v>2725</v>
      </c>
      <c r="T851" t="s">
        <v>3746</v>
      </c>
      <c r="U851" t="s">
        <v>3746</v>
      </c>
      <c r="V851" t="s">
        <v>3746</v>
      </c>
      <c r="W851" t="s">
        <v>4588</v>
      </c>
      <c r="X851">
        <v>3</v>
      </c>
      <c r="Z851" t="s">
        <v>8239</v>
      </c>
      <c r="AA851">
        <v>0.9609122059937929</v>
      </c>
      <c r="AB851" t="str">
        <f>HYPERLINK("Melting_Curves/meltCurve_P04207_.pdf", "Melting_Curves/meltCurve_P04207_.pdf")</f>
        <v>Melting_Curves/meltCurve_P04207_.pdf</v>
      </c>
    </row>
    <row r="852" spans="1:28" x14ac:dyDescent="0.25">
      <c r="A852" t="s">
        <v>856</v>
      </c>
      <c r="B852">
        <v>1</v>
      </c>
      <c r="C852">
        <v>1.1435298600903701</v>
      </c>
      <c r="D852">
        <v>1.8809407153356199</v>
      </c>
      <c r="E852">
        <v>1.9992378463716001</v>
      </c>
      <c r="F852">
        <v>1.0353040448581801</v>
      </c>
      <c r="G852">
        <v>1.52506941041973</v>
      </c>
      <c r="H852">
        <v>0.64747672709456106</v>
      </c>
      <c r="I852">
        <v>0.97503946867004199</v>
      </c>
      <c r="J852">
        <v>1.0170667973215699</v>
      </c>
      <c r="K852">
        <v>1.3039631988676601</v>
      </c>
      <c r="L852">
        <v>10728.1546781463</v>
      </c>
      <c r="M852">
        <v>250</v>
      </c>
      <c r="O852">
        <v>42.909872600199598</v>
      </c>
      <c r="P852">
        <v>0.434067165539748</v>
      </c>
      <c r="Q852">
        <v>1.29801226794906</v>
      </c>
      <c r="R852">
        <v>5.5853375026163297E-2</v>
      </c>
      <c r="S852" t="s">
        <v>2726</v>
      </c>
      <c r="T852" t="s">
        <v>3746</v>
      </c>
      <c r="U852" t="s">
        <v>3746</v>
      </c>
      <c r="V852" t="s">
        <v>3746</v>
      </c>
      <c r="W852" t="s">
        <v>4589</v>
      </c>
      <c r="X852">
        <v>2</v>
      </c>
      <c r="Z852" t="s">
        <v>8240</v>
      </c>
      <c r="AA852">
        <v>1.2690566207284999</v>
      </c>
      <c r="AB852" t="str">
        <f>HYPERLINK("Melting_Curves/meltCurve_P04208_.pdf", "Melting_Curves/meltCurve_P04208_.pdf")</f>
        <v>Melting_Curves/meltCurve_P04208_.pdf</v>
      </c>
    </row>
    <row r="853" spans="1:28" x14ac:dyDescent="0.25">
      <c r="A853" t="s">
        <v>857</v>
      </c>
      <c r="B853">
        <v>1</v>
      </c>
      <c r="C853">
        <v>1.0391962565373001</v>
      </c>
      <c r="D853">
        <v>1.34192127718139</v>
      </c>
      <c r="E853">
        <v>1.4320946875860201</v>
      </c>
      <c r="F853">
        <v>1.2700247729149501</v>
      </c>
      <c r="G853">
        <v>1.4040737682356199</v>
      </c>
      <c r="H853">
        <v>0.68846683181943302</v>
      </c>
      <c r="I853">
        <v>1.08720066061107</v>
      </c>
      <c r="J853">
        <v>1.0660060556014299</v>
      </c>
      <c r="K853">
        <v>0.952380952380952</v>
      </c>
      <c r="L853">
        <v>15000</v>
      </c>
      <c r="M853">
        <v>211.28987276283601</v>
      </c>
      <c r="Q853">
        <v>0</v>
      </c>
      <c r="R853">
        <v>-0.331514485628434</v>
      </c>
      <c r="S853" t="s">
        <v>2727</v>
      </c>
      <c r="T853" t="s">
        <v>3746</v>
      </c>
      <c r="U853" t="s">
        <v>3746</v>
      </c>
      <c r="V853" t="s">
        <v>3746</v>
      </c>
      <c r="W853" t="s">
        <v>4590</v>
      </c>
      <c r="X853">
        <v>2</v>
      </c>
      <c r="Z853" t="s">
        <v>8241</v>
      </c>
      <c r="AA853">
        <v>0.99947373536139283</v>
      </c>
      <c r="AB853" t="str">
        <f>HYPERLINK("Melting_Curves/meltCurve_P04209_.pdf", "Melting_Curves/meltCurve_P04209_.pdf")</f>
        <v>Melting_Curves/meltCurve_P04209_.pdf</v>
      </c>
    </row>
    <row r="854" spans="1:28" x14ac:dyDescent="0.25">
      <c r="A854" t="s">
        <v>858</v>
      </c>
      <c r="B854">
        <v>1</v>
      </c>
      <c r="C854">
        <v>1.15924867292773</v>
      </c>
      <c r="D854">
        <v>1.83070641077991</v>
      </c>
      <c r="E854">
        <v>2.1280522662311099</v>
      </c>
      <c r="F854">
        <v>1.4498162515312401</v>
      </c>
      <c r="G854">
        <v>1.7616169865251099</v>
      </c>
      <c r="H854">
        <v>1.0262964475295999</v>
      </c>
      <c r="I854">
        <v>1.4359330338913801</v>
      </c>
      <c r="J854">
        <v>1.4619028174765201</v>
      </c>
      <c r="K854">
        <v>1.4097182523478999</v>
      </c>
      <c r="L854">
        <v>10757.6333745254</v>
      </c>
      <c r="M854">
        <v>250</v>
      </c>
      <c r="O854">
        <v>43.027778418015998</v>
      </c>
      <c r="P854">
        <v>0.72627498234907195</v>
      </c>
      <c r="Q854">
        <v>1.5</v>
      </c>
      <c r="R854">
        <v>0.30383493446409598</v>
      </c>
      <c r="S854" t="s">
        <v>2728</v>
      </c>
      <c r="T854" t="s">
        <v>3746</v>
      </c>
      <c r="U854" t="s">
        <v>3746</v>
      </c>
      <c r="V854" t="s">
        <v>3746</v>
      </c>
      <c r="W854" t="s">
        <v>4591</v>
      </c>
      <c r="X854">
        <v>3</v>
      </c>
      <c r="Z854" t="s">
        <v>8242</v>
      </c>
      <c r="AA854">
        <v>1.4494533493920541</v>
      </c>
      <c r="AB854" t="str">
        <f>HYPERLINK("Melting_Curves/meltCurve_P04211_.pdf", "Melting_Curves/meltCurve_P04211_.pdf")</f>
        <v>Melting_Curves/meltCurve_P04211_.pdf</v>
      </c>
    </row>
    <row r="855" spans="1:28" x14ac:dyDescent="0.25">
      <c r="A855" t="s">
        <v>859</v>
      </c>
      <c r="B855">
        <v>1</v>
      </c>
      <c r="C855">
        <v>1.0624940254277799</v>
      </c>
      <c r="D855">
        <v>1.3125896185833099</v>
      </c>
      <c r="E855">
        <v>1.4615715514769101</v>
      </c>
      <c r="F855">
        <v>1.00093203326642</v>
      </c>
      <c r="G855">
        <v>1.20404359047892</v>
      </c>
      <c r="H855">
        <v>0.66442022751171004</v>
      </c>
      <c r="I855">
        <v>1.0201462575279601</v>
      </c>
      <c r="J855">
        <v>0.99001051524710804</v>
      </c>
      <c r="K855">
        <v>0.92056208775451698</v>
      </c>
      <c r="L855">
        <v>2460.61362792402</v>
      </c>
      <c r="M855">
        <v>41.775771183375198</v>
      </c>
      <c r="O855">
        <v>58.766004690122699</v>
      </c>
      <c r="P855">
        <v>-1.51291199461506E-2</v>
      </c>
      <c r="Q855">
        <v>0.91487156846052098</v>
      </c>
      <c r="R855">
        <v>-3.58620863237522E-2</v>
      </c>
      <c r="S855" t="s">
        <v>2729</v>
      </c>
      <c r="T855" t="s">
        <v>3746</v>
      </c>
      <c r="U855" t="s">
        <v>3746</v>
      </c>
      <c r="V855" t="s">
        <v>3746</v>
      </c>
      <c r="W855" t="s">
        <v>4592</v>
      </c>
      <c r="X855">
        <v>12</v>
      </c>
      <c r="Y855" t="s">
        <v>6401</v>
      </c>
      <c r="Z855" t="s">
        <v>8243</v>
      </c>
      <c r="AA855">
        <v>0.96881352680671828</v>
      </c>
      <c r="AB855" t="str">
        <f>HYPERLINK("Melting_Curves/meltCurve_P04217_A1BG.pdf", "Melting_Curves/meltCurve_P04217_A1BG.pdf")</f>
        <v>Melting_Curves/meltCurve_P04217_A1BG.pdf</v>
      </c>
    </row>
    <row r="856" spans="1:28" x14ac:dyDescent="0.25">
      <c r="A856" t="s">
        <v>860</v>
      </c>
      <c r="B856">
        <v>1</v>
      </c>
      <c r="C856">
        <v>1.0375642546461099</v>
      </c>
      <c r="D856">
        <v>1.50533807829181</v>
      </c>
      <c r="E856">
        <v>1.57163569263213</v>
      </c>
      <c r="F856">
        <v>2.08521154606564</v>
      </c>
      <c r="G856">
        <v>1.8388691182285499</v>
      </c>
      <c r="H856">
        <v>0.82654540661658105</v>
      </c>
      <c r="I856">
        <v>1.45815210228022</v>
      </c>
      <c r="J856">
        <v>1.3739290892315801</v>
      </c>
      <c r="K856">
        <v>1.2164887307236101</v>
      </c>
      <c r="L856">
        <v>10831.2378024148</v>
      </c>
      <c r="M856">
        <v>250</v>
      </c>
      <c r="O856">
        <v>43.322179153517901</v>
      </c>
      <c r="P856">
        <v>0.699008658037371</v>
      </c>
      <c r="Q856">
        <v>1.4845212473760201</v>
      </c>
      <c r="R856">
        <v>0.25573311820764999</v>
      </c>
      <c r="S856" t="s">
        <v>2730</v>
      </c>
      <c r="T856" t="s">
        <v>3746</v>
      </c>
      <c r="U856" t="s">
        <v>3746</v>
      </c>
      <c r="V856" t="s">
        <v>3746</v>
      </c>
      <c r="W856" t="s">
        <v>4593</v>
      </c>
      <c r="X856">
        <v>1</v>
      </c>
      <c r="Y856" t="s">
        <v>6402</v>
      </c>
      <c r="Z856" t="s">
        <v>8244</v>
      </c>
      <c r="AA856">
        <v>1.4307840900682931</v>
      </c>
      <c r="AB856" t="str">
        <f>HYPERLINK("Melting_Curves/meltCurve_P04271_S100B.pdf", "Melting_Curves/meltCurve_P04271_S100B.pdf")</f>
        <v>Melting_Curves/meltCurve_P04271_S100B.pdf</v>
      </c>
    </row>
    <row r="857" spans="1:28" x14ac:dyDescent="0.25">
      <c r="A857" t="s">
        <v>861</v>
      </c>
      <c r="B857">
        <v>1</v>
      </c>
      <c r="C857">
        <v>0.75887198986058302</v>
      </c>
      <c r="D857">
        <v>1.1408824461343501</v>
      </c>
      <c r="E857">
        <v>1.2989543726235699</v>
      </c>
      <c r="F857">
        <v>0.84747306717363702</v>
      </c>
      <c r="G857">
        <v>0.94847116603295301</v>
      </c>
      <c r="H857">
        <v>0.77946768060836502</v>
      </c>
      <c r="I857">
        <v>0.82489702154626099</v>
      </c>
      <c r="J857">
        <v>0.62400982256020299</v>
      </c>
      <c r="K857">
        <v>0.77277408111533596</v>
      </c>
      <c r="L857">
        <v>1463.7855551274099</v>
      </c>
      <c r="M857">
        <v>24.710593311093401</v>
      </c>
      <c r="O857">
        <v>58.853283013290799</v>
      </c>
      <c r="P857">
        <v>-3.0094125696333799E-2</v>
      </c>
      <c r="Q857">
        <v>0.71330292450342503</v>
      </c>
      <c r="R857">
        <v>0.42776984678367402</v>
      </c>
      <c r="S857" t="s">
        <v>2731</v>
      </c>
      <c r="T857" t="s">
        <v>3746</v>
      </c>
      <c r="U857" t="s">
        <v>3746</v>
      </c>
      <c r="V857" t="s">
        <v>3746</v>
      </c>
      <c r="W857" t="s">
        <v>4594</v>
      </c>
      <c r="X857">
        <v>7</v>
      </c>
      <c r="Y857" t="s">
        <v>6403</v>
      </c>
      <c r="Z857" t="s">
        <v>8245</v>
      </c>
      <c r="AA857">
        <v>0.89947867205467547</v>
      </c>
      <c r="AB857" t="str">
        <f>HYPERLINK("Melting_Curves/meltCurve_P04279_2_SEMG1.pdf", "Melting_Curves/meltCurve_P04279_2_SEMG1.pdf")</f>
        <v>Melting_Curves/meltCurve_P04279_2_SEMG1.pdf</v>
      </c>
    </row>
    <row r="858" spans="1:28" x14ac:dyDescent="0.25">
      <c r="A858" t="s">
        <v>862</v>
      </c>
      <c r="B858">
        <v>1</v>
      </c>
      <c r="C858">
        <v>1.0749772901963499</v>
      </c>
      <c r="D858">
        <v>1.48864509817623</v>
      </c>
      <c r="E858">
        <v>2.0174690797288801</v>
      </c>
      <c r="F858">
        <v>1.7374397316749399</v>
      </c>
      <c r="G858">
        <v>2.26629865138705</v>
      </c>
      <c r="H858">
        <v>1.2933407868073501</v>
      </c>
      <c r="I858">
        <v>2.0174341415694199</v>
      </c>
      <c r="J858">
        <v>1.8952903361050899</v>
      </c>
      <c r="K858">
        <v>1.7666480329816201</v>
      </c>
      <c r="L858">
        <v>3631.4289580545201</v>
      </c>
      <c r="M858">
        <v>82.911258923443995</v>
      </c>
      <c r="O858">
        <v>43.7735242630824</v>
      </c>
      <c r="P858">
        <v>0.23676203501495999</v>
      </c>
      <c r="Q858">
        <v>1.5</v>
      </c>
      <c r="R858">
        <v>0.114915812431652</v>
      </c>
      <c r="S858" t="s">
        <v>2732</v>
      </c>
      <c r="T858" t="s">
        <v>3746</v>
      </c>
      <c r="U858" t="s">
        <v>3746</v>
      </c>
      <c r="V858" t="s">
        <v>3746</v>
      </c>
      <c r="W858" t="s">
        <v>4595</v>
      </c>
      <c r="X858">
        <v>13</v>
      </c>
      <c r="Y858" t="s">
        <v>6404</v>
      </c>
      <c r="Z858" t="s">
        <v>8246</v>
      </c>
      <c r="AA858">
        <v>1.436330797893355</v>
      </c>
      <c r="AB858" t="str">
        <f>HYPERLINK("Melting_Curves/meltCurve_P04406_GAPDH.pdf", "Melting_Curves/meltCurve_P04406_GAPDH.pdf")</f>
        <v>Melting_Curves/meltCurve_P04406_GAPDH.pdf</v>
      </c>
    </row>
    <row r="859" spans="1:28" x14ac:dyDescent="0.25">
      <c r="A859" t="s">
        <v>863</v>
      </c>
      <c r="B859">
        <v>1</v>
      </c>
      <c r="C859">
        <v>0.93799912190143897</v>
      </c>
      <c r="D859">
        <v>1.13344724882228</v>
      </c>
      <c r="E859">
        <v>1.40460171110557</v>
      </c>
      <c r="F859">
        <v>1.6704045186477301</v>
      </c>
      <c r="G859">
        <v>2.0993675317124101</v>
      </c>
      <c r="H859">
        <v>1.9521080298553499</v>
      </c>
      <c r="I859">
        <v>3.4411970619296799</v>
      </c>
      <c r="J859">
        <v>3.4107009362429199</v>
      </c>
      <c r="K859">
        <v>2.8634319414284501</v>
      </c>
      <c r="L859">
        <v>2071.8713924958402</v>
      </c>
      <c r="M859">
        <v>43.849808869041802</v>
      </c>
      <c r="O859">
        <v>47.151316877623202</v>
      </c>
      <c r="P859">
        <v>0.116247742138316</v>
      </c>
      <c r="Q859">
        <v>1.5</v>
      </c>
      <c r="R859">
        <v>-0.209942610577698</v>
      </c>
      <c r="S859" t="s">
        <v>2733</v>
      </c>
      <c r="T859" t="s">
        <v>3746</v>
      </c>
      <c r="U859" t="s">
        <v>3746</v>
      </c>
      <c r="V859" t="s">
        <v>3746</v>
      </c>
      <c r="W859" t="s">
        <v>4596</v>
      </c>
      <c r="X859">
        <v>7</v>
      </c>
      <c r="Y859" t="s">
        <v>6405</v>
      </c>
      <c r="Z859" t="s">
        <v>8247</v>
      </c>
      <c r="AA859">
        <v>1.377817285698445</v>
      </c>
      <c r="AB859" t="str">
        <f>HYPERLINK("Melting_Curves/meltCurve_P04424_3_ASL.pdf", "Melting_Curves/meltCurve_P04424_3_ASL.pdf")</f>
        <v>Melting_Curves/meltCurve_P04424_3_ASL.pdf</v>
      </c>
    </row>
    <row r="860" spans="1:28" x14ac:dyDescent="0.25">
      <c r="A860" t="s">
        <v>864</v>
      </c>
      <c r="B860">
        <v>1</v>
      </c>
      <c r="C860">
        <v>0.95277593020071205</v>
      </c>
      <c r="D860">
        <v>1.2409718690089599</v>
      </c>
      <c r="E860">
        <v>1.28103603427364</v>
      </c>
      <c r="F860">
        <v>0.90516060878751103</v>
      </c>
      <c r="G860">
        <v>1.2504401580656499</v>
      </c>
      <c r="H860">
        <v>0.50972260260573599</v>
      </c>
      <c r="I860">
        <v>0.94322939082123702</v>
      </c>
      <c r="J860">
        <v>0.87898587581673804</v>
      </c>
      <c r="K860">
        <v>0.82964904730232003</v>
      </c>
      <c r="L860">
        <v>2738.0017561541499</v>
      </c>
      <c r="M860">
        <v>46.496384354918099</v>
      </c>
      <c r="O860">
        <v>58.777714580505702</v>
      </c>
      <c r="P860">
        <v>-3.8261199441457901E-2</v>
      </c>
      <c r="Q860">
        <v>0.80653089269445299</v>
      </c>
      <c r="R860">
        <v>0.27016454352945202</v>
      </c>
      <c r="S860" t="s">
        <v>2734</v>
      </c>
      <c r="T860" t="s">
        <v>3746</v>
      </c>
      <c r="U860" t="s">
        <v>3746</v>
      </c>
      <c r="V860" t="s">
        <v>3746</v>
      </c>
      <c r="W860" t="s">
        <v>4597</v>
      </c>
      <c r="X860">
        <v>1</v>
      </c>
      <c r="Z860" t="s">
        <v>8248</v>
      </c>
      <c r="AA860">
        <v>0.92890237712453538</v>
      </c>
      <c r="AB860" t="str">
        <f>HYPERLINK("Melting_Curves/meltCurve_P04430_.pdf", "Melting_Curves/meltCurve_P04430_.pdf")</f>
        <v>Melting_Curves/meltCurve_P04430_.pdf</v>
      </c>
    </row>
    <row r="861" spans="1:28" x14ac:dyDescent="0.25">
      <c r="A861" t="s">
        <v>865</v>
      </c>
      <c r="B861">
        <v>1</v>
      </c>
      <c r="C861">
        <v>1.1260905691732399</v>
      </c>
      <c r="D861">
        <v>1.47174906522642</v>
      </c>
      <c r="E861">
        <v>1.5337210912615999</v>
      </c>
      <c r="F861">
        <v>1.1803074366431201</v>
      </c>
      <c r="G861">
        <v>1.39392050962471</v>
      </c>
      <c r="H861">
        <v>0.71458246780224299</v>
      </c>
      <c r="I861">
        <v>1.1140423764021601</v>
      </c>
      <c r="J861">
        <v>1.0958316022711501</v>
      </c>
      <c r="K861">
        <v>1.0330286663896999</v>
      </c>
      <c r="L861">
        <v>1.0000000000000001E-5</v>
      </c>
      <c r="M861">
        <v>1.0000000000000001E-5</v>
      </c>
      <c r="Q861">
        <v>1.33265312232113</v>
      </c>
      <c r="R861">
        <v>-6.0749334451770698E-9</v>
      </c>
      <c r="S861" t="s">
        <v>2735</v>
      </c>
      <c r="T861" t="s">
        <v>3746</v>
      </c>
      <c r="U861" t="s">
        <v>3746</v>
      </c>
      <c r="V861" t="s">
        <v>3746</v>
      </c>
      <c r="W861" t="s">
        <v>4598</v>
      </c>
      <c r="X861">
        <v>3</v>
      </c>
      <c r="Z861" t="s">
        <v>8249</v>
      </c>
      <c r="AA861">
        <v>1.166327377280209</v>
      </c>
      <c r="AB861" t="str">
        <f>HYPERLINK("Melting_Curves/meltCurve_P04433_.pdf", "Melting_Curves/meltCurve_P04433_.pdf")</f>
        <v>Melting_Curves/meltCurve_P04433_.pdf</v>
      </c>
    </row>
    <row r="862" spans="1:28" x14ac:dyDescent="0.25">
      <c r="A862" t="s">
        <v>866</v>
      </c>
      <c r="B862">
        <v>1</v>
      </c>
      <c r="C862">
        <v>0.96588479016305795</v>
      </c>
      <c r="D862">
        <v>1.36104985298049</v>
      </c>
      <c r="E862">
        <v>1.2415296712109101</v>
      </c>
      <c r="F862">
        <v>0.85797580860732403</v>
      </c>
      <c r="G862">
        <v>1.039327719861</v>
      </c>
      <c r="H862">
        <v>0.74854651162790697</v>
      </c>
      <c r="I862">
        <v>0.86617882919005595</v>
      </c>
      <c r="J862">
        <v>0.87264434643143496</v>
      </c>
      <c r="K862">
        <v>0.88881649291633302</v>
      </c>
      <c r="L862">
        <v>14708.9195904029</v>
      </c>
      <c r="M862">
        <v>250</v>
      </c>
      <c r="O862">
        <v>58.8319132812451</v>
      </c>
      <c r="P862">
        <v>-0.165675855862119</v>
      </c>
      <c r="Q862">
        <v>0.84404755885870897</v>
      </c>
      <c r="R862">
        <v>0.29730666649065202</v>
      </c>
      <c r="S862" t="s">
        <v>2736</v>
      </c>
      <c r="T862" t="s">
        <v>3746</v>
      </c>
      <c r="U862" t="s">
        <v>3746</v>
      </c>
      <c r="V862" t="s">
        <v>3746</v>
      </c>
      <c r="W862" t="s">
        <v>4599</v>
      </c>
      <c r="X862">
        <v>2</v>
      </c>
      <c r="Z862" t="s">
        <v>8250</v>
      </c>
      <c r="AA862">
        <v>0.94197932920534455</v>
      </c>
      <c r="AB862" t="str">
        <f>HYPERLINK("Melting_Curves/meltCurve_P04438_.pdf", "Melting_Curves/meltCurve_P04438_.pdf")</f>
        <v>Melting_Curves/meltCurve_P04438_.pdf</v>
      </c>
    </row>
    <row r="863" spans="1:28" x14ac:dyDescent="0.25">
      <c r="A863" t="s">
        <v>867</v>
      </c>
      <c r="B863">
        <v>1</v>
      </c>
      <c r="C863">
        <v>1.1320015451685901</v>
      </c>
      <c r="D863">
        <v>1.3850780861983301</v>
      </c>
      <c r="E863">
        <v>1.6278902930301899</v>
      </c>
      <c r="F863">
        <v>1.2152750951934199</v>
      </c>
      <c r="G863">
        <v>1.2732189172782999</v>
      </c>
      <c r="H863">
        <v>0.75177970310689302</v>
      </c>
      <c r="I863">
        <v>1.0634622813310499</v>
      </c>
      <c r="J863">
        <v>1.1516472600849801</v>
      </c>
      <c r="K863">
        <v>0.98454831411069998</v>
      </c>
      <c r="L863">
        <v>10683.017947014599</v>
      </c>
      <c r="M863">
        <v>250</v>
      </c>
      <c r="O863">
        <v>42.7293372182545</v>
      </c>
      <c r="P863">
        <v>0.26564373556868898</v>
      </c>
      <c r="Q863">
        <v>1.1816124919023701</v>
      </c>
      <c r="R863">
        <v>5.8033181962508298E-2</v>
      </c>
      <c r="S863" t="s">
        <v>2737</v>
      </c>
      <c r="T863" t="s">
        <v>3746</v>
      </c>
      <c r="U863" t="s">
        <v>3746</v>
      </c>
      <c r="V863" t="s">
        <v>3746</v>
      </c>
      <c r="W863" t="s">
        <v>4600</v>
      </c>
      <c r="X863">
        <v>25</v>
      </c>
      <c r="Y863" t="s">
        <v>6406</v>
      </c>
      <c r="Z863" t="s">
        <v>8251</v>
      </c>
      <c r="AA863">
        <v>1.165059593149125</v>
      </c>
      <c r="AB863" t="str">
        <f>HYPERLINK("Melting_Curves/meltCurve_P04745_AMY1A.pdf", "Melting_Curves/meltCurve_P04745_AMY1A.pdf")</f>
        <v>Melting_Curves/meltCurve_P04745_AMY1A.pdf</v>
      </c>
    </row>
    <row r="864" spans="1:28" x14ac:dyDescent="0.25">
      <c r="A864" t="s">
        <v>868</v>
      </c>
      <c r="B864">
        <v>1</v>
      </c>
      <c r="C864">
        <v>1.04919232578807</v>
      </c>
      <c r="D864">
        <v>1.3798421245229799</v>
      </c>
      <c r="E864">
        <v>1.6895812640493499</v>
      </c>
      <c r="F864">
        <v>1.1459041246275301</v>
      </c>
      <c r="G864">
        <v>1.20189241465837</v>
      </c>
      <c r="H864">
        <v>0.71916984682942098</v>
      </c>
      <c r="I864">
        <v>1.20868837890114</v>
      </c>
      <c r="J864">
        <v>1.26823148099744</v>
      </c>
      <c r="K864">
        <v>1.2004286685137699</v>
      </c>
      <c r="L864">
        <v>10780.0565774811</v>
      </c>
      <c r="M864">
        <v>250</v>
      </c>
      <c r="O864">
        <v>43.117466910338202</v>
      </c>
      <c r="P864">
        <v>0.32863318265585101</v>
      </c>
      <c r="Q864">
        <v>1.2267172857483699</v>
      </c>
      <c r="R864">
        <v>0.116438929276939</v>
      </c>
      <c r="S864" t="s">
        <v>2738</v>
      </c>
      <c r="T864" t="s">
        <v>3746</v>
      </c>
      <c r="U864" t="s">
        <v>3746</v>
      </c>
      <c r="V864" t="s">
        <v>3746</v>
      </c>
      <c r="W864" t="s">
        <v>4601</v>
      </c>
      <c r="X864">
        <v>10</v>
      </c>
      <c r="Y864" t="s">
        <v>6407</v>
      </c>
      <c r="Z864" t="s">
        <v>8252</v>
      </c>
      <c r="AA864">
        <v>1.203119820843175</v>
      </c>
      <c r="AB864" t="str">
        <f>HYPERLINK("Melting_Curves/meltCurve_P04792_HSPB1.pdf", "Melting_Curves/meltCurve_P04792_HSPB1.pdf")</f>
        <v>Melting_Curves/meltCurve_P04792_HSPB1.pdf</v>
      </c>
    </row>
    <row r="865" spans="1:28" x14ac:dyDescent="0.25">
      <c r="A865" t="s">
        <v>869</v>
      </c>
      <c r="B865">
        <v>1</v>
      </c>
      <c r="C865">
        <v>1.0233055823785799</v>
      </c>
      <c r="D865">
        <v>1.3830153717671001</v>
      </c>
      <c r="E865">
        <v>1.6950961714121699</v>
      </c>
      <c r="F865">
        <v>1.1331784847456701</v>
      </c>
      <c r="G865">
        <v>1.1542657306156501</v>
      </c>
      <c r="H865">
        <v>0.75908865516611401</v>
      </c>
      <c r="I865">
        <v>1.0832789623404799</v>
      </c>
      <c r="J865">
        <v>1.1132656523214199</v>
      </c>
      <c r="K865">
        <v>1.02210507085628</v>
      </c>
      <c r="L865">
        <v>10803.3053248217</v>
      </c>
      <c r="M865">
        <v>250</v>
      </c>
      <c r="O865">
        <v>43.210455951882103</v>
      </c>
      <c r="P865">
        <v>0.24286910076666299</v>
      </c>
      <c r="Q865">
        <v>1.1679117530480601</v>
      </c>
      <c r="R865">
        <v>6.9814920917319695E-2</v>
      </c>
      <c r="S865" t="s">
        <v>2739</v>
      </c>
      <c r="T865" t="s">
        <v>3746</v>
      </c>
      <c r="U865" t="s">
        <v>3746</v>
      </c>
      <c r="V865" t="s">
        <v>3746</v>
      </c>
      <c r="W865" t="s">
        <v>4602</v>
      </c>
      <c r="X865">
        <v>18</v>
      </c>
      <c r="Y865" t="s">
        <v>6408</v>
      </c>
      <c r="Z865" t="s">
        <v>8253</v>
      </c>
      <c r="AA865">
        <v>1.149914431489351</v>
      </c>
      <c r="AB865" t="str">
        <f>HYPERLINK("Melting_Curves/meltCurve_P05067_7_APP.pdf", "Melting_Curves/meltCurve_P05067_7_APP.pdf")</f>
        <v>Melting_Curves/meltCurve_P05067_7_APP.pdf</v>
      </c>
    </row>
    <row r="866" spans="1:28" x14ac:dyDescent="0.25">
      <c r="A866" t="s">
        <v>870</v>
      </c>
      <c r="B866">
        <v>1</v>
      </c>
      <c r="C866">
        <v>0.86967850710809702</v>
      </c>
      <c r="D866">
        <v>1.13189255469977</v>
      </c>
      <c r="E866">
        <v>1.0410391999080399</v>
      </c>
      <c r="F866">
        <v>0.71333869793462801</v>
      </c>
      <c r="G866">
        <v>0.90600452159251998</v>
      </c>
      <c r="H866">
        <v>0.28364179790780503</v>
      </c>
      <c r="I866">
        <v>0.758937808943557</v>
      </c>
      <c r="J866">
        <v>0.78127754147986395</v>
      </c>
      <c r="K866">
        <v>0.73977851860367105</v>
      </c>
      <c r="L866">
        <v>13107.311836823499</v>
      </c>
      <c r="M866">
        <v>250</v>
      </c>
      <c r="O866">
        <v>52.425892234044497</v>
      </c>
      <c r="P866">
        <v>-0.36488726702761898</v>
      </c>
      <c r="Q866">
        <v>0.69392735180172005</v>
      </c>
      <c r="R866">
        <v>0.47233572324059497</v>
      </c>
      <c r="S866" t="s">
        <v>2740</v>
      </c>
      <c r="T866" t="s">
        <v>3746</v>
      </c>
      <c r="U866" t="s">
        <v>3746</v>
      </c>
      <c r="V866" t="s">
        <v>3746</v>
      </c>
      <c r="W866" t="s">
        <v>4603</v>
      </c>
      <c r="X866">
        <v>11</v>
      </c>
      <c r="Y866" t="s">
        <v>6409</v>
      </c>
      <c r="Z866" t="s">
        <v>8254</v>
      </c>
      <c r="AA866">
        <v>0.82076393600520059</v>
      </c>
      <c r="AB866" t="str">
        <f>HYPERLINK("Melting_Curves/meltCurve_P05109_S100A8.pdf", "Melting_Curves/meltCurve_P05109_S100A8.pdf")</f>
        <v>Melting_Curves/meltCurve_P05109_S100A8.pdf</v>
      </c>
    </row>
    <row r="867" spans="1:28" x14ac:dyDescent="0.25">
      <c r="A867" t="s">
        <v>871</v>
      </c>
      <c r="B867">
        <v>1</v>
      </c>
      <c r="C867">
        <v>1.0492873903344</v>
      </c>
      <c r="D867">
        <v>1.3932010218117501</v>
      </c>
      <c r="E867">
        <v>1.5679724434478099</v>
      </c>
      <c r="F867">
        <v>1.07183891438281</v>
      </c>
      <c r="G867">
        <v>1.5358385444961999</v>
      </c>
      <c r="H867">
        <v>0.58598129760845197</v>
      </c>
      <c r="I867">
        <v>1.18745159686983</v>
      </c>
      <c r="J867">
        <v>1.0720238576861301</v>
      </c>
      <c r="K867">
        <v>0.95993665691861296</v>
      </c>
      <c r="L867">
        <v>10764.0554551924</v>
      </c>
      <c r="M867">
        <v>250</v>
      </c>
      <c r="O867">
        <v>43.053466678503</v>
      </c>
      <c r="P867">
        <v>0.249370943501352</v>
      </c>
      <c r="Q867">
        <v>1.1717805368249801</v>
      </c>
      <c r="R867">
        <v>4.5812588527967699E-2</v>
      </c>
      <c r="S867" t="s">
        <v>2741</v>
      </c>
      <c r="T867" t="s">
        <v>3746</v>
      </c>
      <c r="U867" t="s">
        <v>3746</v>
      </c>
      <c r="V867" t="s">
        <v>3746</v>
      </c>
      <c r="W867" t="s">
        <v>4604</v>
      </c>
      <c r="X867">
        <v>12</v>
      </c>
      <c r="Y867" t="s">
        <v>6410</v>
      </c>
      <c r="Z867" t="s">
        <v>8255</v>
      </c>
      <c r="AA867">
        <v>1.1542675757338701</v>
      </c>
      <c r="AB867" t="str">
        <f>HYPERLINK("Melting_Curves/meltCurve_P05154_SERPINA5.pdf", "Melting_Curves/meltCurve_P05154_SERPINA5.pdf")</f>
        <v>Melting_Curves/meltCurve_P05154_SERPINA5.pdf</v>
      </c>
    </row>
    <row r="868" spans="1:28" x14ac:dyDescent="0.25">
      <c r="A868" t="s">
        <v>872</v>
      </c>
      <c r="B868">
        <v>1</v>
      </c>
      <c r="C868">
        <v>1.12678486837653</v>
      </c>
      <c r="D868">
        <v>1.52806726669825</v>
      </c>
      <c r="E868">
        <v>1.7077214590241601</v>
      </c>
      <c r="F868">
        <v>1.49798673614401</v>
      </c>
      <c r="G868">
        <v>1.46997022399675</v>
      </c>
      <c r="H868">
        <v>0.89722203424240399</v>
      </c>
      <c r="I868">
        <v>1.29799688705421</v>
      </c>
      <c r="J868">
        <v>1.2152669689382101</v>
      </c>
      <c r="K868">
        <v>1.1489307707924501</v>
      </c>
      <c r="L868">
        <v>10748.3718696876</v>
      </c>
      <c r="M868">
        <v>250</v>
      </c>
      <c r="O868">
        <v>42.990736165322502</v>
      </c>
      <c r="P868">
        <v>0.502136220851927</v>
      </c>
      <c r="Q868">
        <v>1.34539529235402</v>
      </c>
      <c r="R868">
        <v>0.226456968025012</v>
      </c>
      <c r="S868" t="s">
        <v>2742</v>
      </c>
      <c r="T868" t="s">
        <v>3746</v>
      </c>
      <c r="U868" t="s">
        <v>3746</v>
      </c>
      <c r="V868" t="s">
        <v>3746</v>
      </c>
      <c r="W868" t="s">
        <v>4605</v>
      </c>
      <c r="X868">
        <v>3</v>
      </c>
      <c r="Y868" t="s">
        <v>6411</v>
      </c>
      <c r="Z868" t="s">
        <v>8256</v>
      </c>
      <c r="AA868">
        <v>1.310904681834965</v>
      </c>
      <c r="AB868" t="str">
        <f>HYPERLINK("Melting_Curves/meltCurve_P05160_F13B.pdf", "Melting_Curves/meltCurve_P05160_F13B.pdf")</f>
        <v>Melting_Curves/meltCurve_P05160_F13B.pdf</v>
      </c>
    </row>
    <row r="869" spans="1:28" x14ac:dyDescent="0.25">
      <c r="A869" t="s">
        <v>873</v>
      </c>
      <c r="B869">
        <v>1</v>
      </c>
      <c r="C869">
        <v>0.99492801047120405</v>
      </c>
      <c r="D869">
        <v>1.3332242582897</v>
      </c>
      <c r="E869">
        <v>1.34707678883072</v>
      </c>
      <c r="F869">
        <v>1.2262761780104701</v>
      </c>
      <c r="G869">
        <v>1.25512652705061</v>
      </c>
      <c r="H869">
        <v>0.72785776614310604</v>
      </c>
      <c r="I869">
        <v>1.2061518324607301</v>
      </c>
      <c r="J869">
        <v>1.2032068062827199</v>
      </c>
      <c r="K869">
        <v>1.13612565445026</v>
      </c>
      <c r="L869">
        <v>11025.400800437301</v>
      </c>
      <c r="M869">
        <v>250</v>
      </c>
      <c r="O869">
        <v>44.098781040043001</v>
      </c>
      <c r="P869">
        <v>0.254217502047063</v>
      </c>
      <c r="Q869">
        <v>1.1793709109421</v>
      </c>
      <c r="R869">
        <v>0.165563456680594</v>
      </c>
      <c r="S869" t="s">
        <v>2743</v>
      </c>
      <c r="T869" t="s">
        <v>3746</v>
      </c>
      <c r="U869" t="s">
        <v>3746</v>
      </c>
      <c r="V869" t="s">
        <v>3746</v>
      </c>
      <c r="W869" t="s">
        <v>4606</v>
      </c>
      <c r="X869">
        <v>7</v>
      </c>
      <c r="Y869" t="s">
        <v>6412</v>
      </c>
      <c r="Z869" t="s">
        <v>8257</v>
      </c>
      <c r="AA869">
        <v>1.154833417971826</v>
      </c>
      <c r="AB869" t="str">
        <f>HYPERLINK("Melting_Curves/meltCurve_P05164_2_MPO.pdf", "Melting_Curves/meltCurve_P05164_2_MPO.pdf")</f>
        <v>Melting_Curves/meltCurve_P05164_2_MPO.pdf</v>
      </c>
    </row>
    <row r="870" spans="1:28" x14ac:dyDescent="0.25">
      <c r="A870" t="s">
        <v>874</v>
      </c>
      <c r="B870">
        <v>1</v>
      </c>
      <c r="C870">
        <v>1.0661745827984599</v>
      </c>
      <c r="D870">
        <v>1.6236200256739399</v>
      </c>
      <c r="E870">
        <v>1.5091784338895999</v>
      </c>
      <c r="F870">
        <v>0.80770218228498103</v>
      </c>
      <c r="G870">
        <v>0.68299101412066698</v>
      </c>
      <c r="H870">
        <v>0.48615532734274702</v>
      </c>
      <c r="I870">
        <v>0.95898587933247703</v>
      </c>
      <c r="J870">
        <v>0.984531450577664</v>
      </c>
      <c r="K870">
        <v>0.87374839537869098</v>
      </c>
      <c r="L870">
        <v>13095.944781611001</v>
      </c>
      <c r="M870">
        <v>250</v>
      </c>
      <c r="O870">
        <v>52.380449152841102</v>
      </c>
      <c r="P870">
        <v>-0.24189711726292501</v>
      </c>
      <c r="Q870">
        <v>0.79726921133063</v>
      </c>
      <c r="R870">
        <v>0.226179946437395</v>
      </c>
      <c r="S870" t="s">
        <v>2744</v>
      </c>
      <c r="T870" t="s">
        <v>3746</v>
      </c>
      <c r="U870" t="s">
        <v>3746</v>
      </c>
      <c r="V870" t="s">
        <v>3746</v>
      </c>
      <c r="W870" t="s">
        <v>4607</v>
      </c>
      <c r="X870">
        <v>1</v>
      </c>
      <c r="Y870" t="s">
        <v>6413</v>
      </c>
      <c r="Z870" t="s">
        <v>8258</v>
      </c>
      <c r="AA870">
        <v>0.88097362588991368</v>
      </c>
      <c r="AB870" t="str">
        <f>HYPERLINK("Melting_Curves/meltCurve_P05186_2_ALPL.pdf", "Melting_Curves/meltCurve_P05186_2_ALPL.pdf")</f>
        <v>Melting_Curves/meltCurve_P05186_2_ALPL.pdf</v>
      </c>
    </row>
    <row r="871" spans="1:28" x14ac:dyDescent="0.25">
      <c r="A871" t="s">
        <v>875</v>
      </c>
      <c r="B871">
        <v>1</v>
      </c>
      <c r="C871">
        <v>0.93254466152835003</v>
      </c>
      <c r="D871">
        <v>1.1804385493218601</v>
      </c>
      <c r="E871">
        <v>1.33906912827866</v>
      </c>
      <c r="F871">
        <v>0.89860787476847703</v>
      </c>
      <c r="G871">
        <v>0.99593714524705701</v>
      </c>
      <c r="H871">
        <v>0.60572384537252799</v>
      </c>
      <c r="I871">
        <v>0.93565155045707105</v>
      </c>
      <c r="J871">
        <v>0.92836231104737998</v>
      </c>
      <c r="K871">
        <v>0.83390093804146503</v>
      </c>
      <c r="L871">
        <v>14462.5238012431</v>
      </c>
      <c r="M871">
        <v>250</v>
      </c>
      <c r="O871">
        <v>57.846391892816598</v>
      </c>
      <c r="P871">
        <v>-0.18809532742014301</v>
      </c>
      <c r="Q871">
        <v>0.82590981995062196</v>
      </c>
      <c r="R871">
        <v>0.318327002866991</v>
      </c>
      <c r="S871" t="s">
        <v>2745</v>
      </c>
      <c r="T871" t="s">
        <v>3746</v>
      </c>
      <c r="U871" t="s">
        <v>3746</v>
      </c>
      <c r="V871" t="s">
        <v>3746</v>
      </c>
      <c r="W871" t="s">
        <v>4608</v>
      </c>
      <c r="X871">
        <v>10</v>
      </c>
      <c r="Y871" t="s">
        <v>6414</v>
      </c>
      <c r="Z871" t="s">
        <v>8259</v>
      </c>
      <c r="AA871">
        <v>0.9295117042375648</v>
      </c>
      <c r="AB871" t="str">
        <f>HYPERLINK("Melting_Curves/meltCurve_P05362_ICAM1.pdf", "Melting_Curves/meltCurve_P05362_ICAM1.pdf")</f>
        <v>Melting_Curves/meltCurve_P05362_ICAM1.pdf</v>
      </c>
    </row>
    <row r="872" spans="1:28" x14ac:dyDescent="0.25">
      <c r="A872" t="s">
        <v>876</v>
      </c>
      <c r="B872">
        <v>1</v>
      </c>
      <c r="C872">
        <v>1.0806188566139201</v>
      </c>
      <c r="D872">
        <v>1.49182351126196</v>
      </c>
      <c r="E872">
        <v>1.9676907480054699</v>
      </c>
      <c r="F872">
        <v>1.21862740776656</v>
      </c>
      <c r="G872">
        <v>1.44990523207123</v>
      </c>
      <c r="H872">
        <v>1.0383479525719601</v>
      </c>
      <c r="I872">
        <v>1.48992815268656</v>
      </c>
      <c r="J872">
        <v>1.4654648036320399</v>
      </c>
      <c r="K872">
        <v>1.44452770308988</v>
      </c>
      <c r="L872">
        <v>10789.8060773705</v>
      </c>
      <c r="M872">
        <v>250</v>
      </c>
      <c r="O872">
        <v>43.1564626045446</v>
      </c>
      <c r="P872">
        <v>0.64560065728330696</v>
      </c>
      <c r="Q872">
        <v>1.4457894473967301</v>
      </c>
      <c r="R872">
        <v>0.35005270575026598</v>
      </c>
      <c r="S872" t="s">
        <v>2746</v>
      </c>
      <c r="T872" t="s">
        <v>3746</v>
      </c>
      <c r="U872" t="s">
        <v>3746</v>
      </c>
      <c r="V872" t="s">
        <v>3746</v>
      </c>
      <c r="W872" t="s">
        <v>4609</v>
      </c>
      <c r="X872">
        <v>3</v>
      </c>
      <c r="Y872" t="s">
        <v>6415</v>
      </c>
      <c r="Z872" t="s">
        <v>8260</v>
      </c>
      <c r="AA872">
        <v>1.3988107196480211</v>
      </c>
      <c r="AB872" t="str">
        <f>HYPERLINK("Melting_Curves/meltCurve_P05387_RPLP2.pdf", "Melting_Curves/meltCurve_P05387_RPLP2.pdf")</f>
        <v>Melting_Curves/meltCurve_P05387_RPLP2.pdf</v>
      </c>
    </row>
    <row r="873" spans="1:28" x14ac:dyDescent="0.25">
      <c r="A873" t="s">
        <v>877</v>
      </c>
      <c r="B873">
        <v>1</v>
      </c>
      <c r="C873">
        <v>1.19181434599156</v>
      </c>
      <c r="D873">
        <v>2.6399156118143501</v>
      </c>
      <c r="E873">
        <v>4.4042194092826996</v>
      </c>
      <c r="F873">
        <v>2.6945147679324899</v>
      </c>
      <c r="G873">
        <v>3.9131645569620299</v>
      </c>
      <c r="H873">
        <v>1.6160337552742601</v>
      </c>
      <c r="I873">
        <v>2.5186497890295398</v>
      </c>
      <c r="J873">
        <v>2.7016877637130801</v>
      </c>
      <c r="K873">
        <v>2.6629535864978902</v>
      </c>
      <c r="L873">
        <v>10745.341960144</v>
      </c>
      <c r="M873">
        <v>250</v>
      </c>
      <c r="O873">
        <v>42.978617261596703</v>
      </c>
      <c r="P873">
        <v>0.72710575599300697</v>
      </c>
      <c r="Q873">
        <v>1.5</v>
      </c>
      <c r="R873">
        <v>-0.98794058368395699</v>
      </c>
      <c r="S873" t="s">
        <v>2747</v>
      </c>
      <c r="T873" t="s">
        <v>3746</v>
      </c>
      <c r="U873" t="s">
        <v>3746</v>
      </c>
      <c r="V873" t="s">
        <v>3746</v>
      </c>
      <c r="W873" t="s">
        <v>4610</v>
      </c>
      <c r="X873">
        <v>14</v>
      </c>
      <c r="Y873" t="s">
        <v>6416</v>
      </c>
      <c r="Z873" t="s">
        <v>8261</v>
      </c>
      <c r="AA873">
        <v>1.450272820154678</v>
      </c>
      <c r="AB873" t="str">
        <f>HYPERLINK("Melting_Curves/meltCurve_P05413_FABP3.pdf", "Melting_Curves/meltCurve_P05413_FABP3.pdf")</f>
        <v>Melting_Curves/meltCurve_P05413_FABP3.pdf</v>
      </c>
    </row>
    <row r="874" spans="1:28" x14ac:dyDescent="0.25">
      <c r="A874" t="s">
        <v>878</v>
      </c>
      <c r="B874">
        <v>1</v>
      </c>
      <c r="C874">
        <v>1.01400410677618</v>
      </c>
      <c r="D874">
        <v>1.5901437371663201</v>
      </c>
      <c r="E874">
        <v>1.65010266940452</v>
      </c>
      <c r="F874">
        <v>1.1170568104038301</v>
      </c>
      <c r="G874">
        <v>1.2514989733059501</v>
      </c>
      <c r="H874">
        <v>0.57897330595482499</v>
      </c>
      <c r="I874">
        <v>1.05071868583162</v>
      </c>
      <c r="J874">
        <v>0.98012320328542102</v>
      </c>
      <c r="K874">
        <v>0.85463381245722103</v>
      </c>
      <c r="L874">
        <v>2255.1828206365099</v>
      </c>
      <c r="M874">
        <v>38.231495286894997</v>
      </c>
      <c r="O874">
        <v>58.826868942019303</v>
      </c>
      <c r="P874">
        <v>-1.8690652222017198E-2</v>
      </c>
      <c r="Q874">
        <v>0.88496292565885504</v>
      </c>
      <c r="R874">
        <v>-8.0846738066333093E-2</v>
      </c>
      <c r="S874" t="s">
        <v>2748</v>
      </c>
      <c r="T874" t="s">
        <v>3746</v>
      </c>
      <c r="U874" t="s">
        <v>3746</v>
      </c>
      <c r="V874" t="s">
        <v>3746</v>
      </c>
      <c r="W874" t="s">
        <v>4611</v>
      </c>
      <c r="X874">
        <v>7</v>
      </c>
      <c r="Y874" t="s">
        <v>6417</v>
      </c>
      <c r="Z874" t="s">
        <v>8262</v>
      </c>
      <c r="AA874">
        <v>0.95826436300067597</v>
      </c>
      <c r="AB874" t="str">
        <f>HYPERLINK("Melting_Curves/meltCurve_P05543_SERPINA7.pdf", "Melting_Curves/meltCurve_P05543_SERPINA7.pdf")</f>
        <v>Melting_Curves/meltCurve_P05543_SERPINA7.pdf</v>
      </c>
    </row>
    <row r="875" spans="1:28" x14ac:dyDescent="0.25">
      <c r="A875" t="s">
        <v>879</v>
      </c>
      <c r="B875">
        <v>1</v>
      </c>
      <c r="C875">
        <v>1.0969141755062699</v>
      </c>
      <c r="D875">
        <v>1.73457087753134</v>
      </c>
      <c r="E875">
        <v>2.5735776277724201</v>
      </c>
      <c r="F875">
        <v>2.34580520732883</v>
      </c>
      <c r="G875">
        <v>2.7525072324011601</v>
      </c>
      <c r="H875">
        <v>1.8003375120539999</v>
      </c>
      <c r="I875">
        <v>2.5871745419479302</v>
      </c>
      <c r="J875">
        <v>2.6529411764705899</v>
      </c>
      <c r="K875">
        <v>2.4904050144648</v>
      </c>
      <c r="L875">
        <v>10786.1462589483</v>
      </c>
      <c r="M875">
        <v>250</v>
      </c>
      <c r="O875">
        <v>43.141833846371199</v>
      </c>
      <c r="P875">
        <v>0.72435509360828698</v>
      </c>
      <c r="Q875">
        <v>1.5</v>
      </c>
      <c r="R875">
        <v>-0.83964010373578801</v>
      </c>
      <c r="S875" t="s">
        <v>2749</v>
      </c>
      <c r="T875" t="s">
        <v>3746</v>
      </c>
      <c r="U875" t="s">
        <v>3746</v>
      </c>
      <c r="V875" t="s">
        <v>3746</v>
      </c>
      <c r="W875" t="s">
        <v>4612</v>
      </c>
      <c r="X875">
        <v>12</v>
      </c>
      <c r="Y875" t="s">
        <v>6418</v>
      </c>
      <c r="Z875" t="s">
        <v>8263</v>
      </c>
      <c r="AA875">
        <v>1.4475523903586649</v>
      </c>
      <c r="AB875" t="str">
        <f>HYPERLINK("Melting_Curves/meltCurve_P05546_SERPIND1.pdf", "Melting_Curves/meltCurve_P05546_SERPIND1.pdf")</f>
        <v>Melting_Curves/meltCurve_P05546_SERPIND1.pdf</v>
      </c>
    </row>
    <row r="876" spans="1:28" x14ac:dyDescent="0.25">
      <c r="A876" t="s">
        <v>880</v>
      </c>
      <c r="B876">
        <v>1</v>
      </c>
      <c r="C876">
        <v>0.89326753957396898</v>
      </c>
      <c r="D876">
        <v>1.06605432870823</v>
      </c>
      <c r="E876">
        <v>1.1418800078170801</v>
      </c>
      <c r="F876">
        <v>0.80571623998436603</v>
      </c>
      <c r="G876">
        <v>1.2321672855188599</v>
      </c>
      <c r="H876">
        <v>0.57035372288450303</v>
      </c>
      <c r="I876">
        <v>0.88232362712526902</v>
      </c>
      <c r="J876">
        <v>0.82998827437951905</v>
      </c>
      <c r="K876">
        <v>0.76923001758843101</v>
      </c>
      <c r="L876">
        <v>14740.492780598501</v>
      </c>
      <c r="M876">
        <v>250</v>
      </c>
      <c r="O876">
        <v>58.958209795826903</v>
      </c>
      <c r="P876">
        <v>-0.25125648315083599</v>
      </c>
      <c r="Q876">
        <v>0.76298192862201297</v>
      </c>
      <c r="R876">
        <v>0.46466310092283503</v>
      </c>
      <c r="S876" t="s">
        <v>2750</v>
      </c>
      <c r="T876" t="s">
        <v>3746</v>
      </c>
      <c r="U876" t="s">
        <v>3746</v>
      </c>
      <c r="V876" t="s">
        <v>3746</v>
      </c>
      <c r="W876" t="s">
        <v>4613</v>
      </c>
      <c r="X876">
        <v>6</v>
      </c>
      <c r="Y876" t="s">
        <v>6419</v>
      </c>
      <c r="Z876" t="s">
        <v>8264</v>
      </c>
      <c r="AA876">
        <v>0.91281744878713489</v>
      </c>
      <c r="AB876" t="str">
        <f>HYPERLINK("Melting_Curves/meltCurve_P05814_CSN2.pdf", "Melting_Curves/meltCurve_P05814_CSN2.pdf")</f>
        <v>Melting_Curves/meltCurve_P05814_CSN2.pdf</v>
      </c>
    </row>
    <row r="877" spans="1:28" x14ac:dyDescent="0.25">
      <c r="A877" t="s">
        <v>881</v>
      </c>
      <c r="B877">
        <v>1</v>
      </c>
      <c r="C877">
        <v>0.89986058071164499</v>
      </c>
      <c r="D877">
        <v>1.2532884766927299</v>
      </c>
      <c r="E877">
        <v>1.1911559677517101</v>
      </c>
      <c r="F877">
        <v>0.96778202097350996</v>
      </c>
      <c r="G877">
        <v>1.10629205310056</v>
      </c>
      <c r="H877">
        <v>0.54000727404982696</v>
      </c>
      <c r="I877">
        <v>0.82221009880584395</v>
      </c>
      <c r="J877">
        <v>0.88785839849669601</v>
      </c>
      <c r="K877">
        <v>0.80738922228283905</v>
      </c>
      <c r="L877">
        <v>4283.3773948311</v>
      </c>
      <c r="M877">
        <v>73.030922637765698</v>
      </c>
      <c r="O877">
        <v>58.607624676330303</v>
      </c>
      <c r="P877">
        <v>-7.2240331062758401E-2</v>
      </c>
      <c r="Q877">
        <v>0.76810735284151299</v>
      </c>
      <c r="R877">
        <v>0.46989396182624299</v>
      </c>
      <c r="S877" t="s">
        <v>2751</v>
      </c>
      <c r="T877" t="s">
        <v>3746</v>
      </c>
      <c r="U877" t="s">
        <v>3746</v>
      </c>
      <c r="V877" t="s">
        <v>3746</v>
      </c>
      <c r="W877" t="s">
        <v>4614</v>
      </c>
      <c r="X877">
        <v>4</v>
      </c>
      <c r="Z877" t="s">
        <v>8265</v>
      </c>
      <c r="AA877">
        <v>0.91255963459666778</v>
      </c>
      <c r="AB877" t="str">
        <f>HYPERLINK("Melting_Curves/meltCurve_P06310_.pdf", "Melting_Curves/meltCurve_P06310_.pdf")</f>
        <v>Melting_Curves/meltCurve_P06310_.pdf</v>
      </c>
    </row>
    <row r="878" spans="1:28" x14ac:dyDescent="0.25">
      <c r="A878" t="s">
        <v>882</v>
      </c>
      <c r="B878">
        <v>1</v>
      </c>
      <c r="C878">
        <v>0.86920137327829305</v>
      </c>
      <c r="D878">
        <v>1.1224302121224501</v>
      </c>
      <c r="E878">
        <v>1.0810479421261301</v>
      </c>
      <c r="F878">
        <v>0.823088241304614</v>
      </c>
      <c r="G878">
        <v>0.99711856786692299</v>
      </c>
      <c r="H878">
        <v>0.39003555809866403</v>
      </c>
      <c r="I878">
        <v>0.76674704704295604</v>
      </c>
      <c r="J878">
        <v>0.75045980299995896</v>
      </c>
      <c r="K878">
        <v>0.72020476560264901</v>
      </c>
      <c r="L878">
        <v>14518.5771599823</v>
      </c>
      <c r="M878">
        <v>250</v>
      </c>
      <c r="O878">
        <v>58.070594421050401</v>
      </c>
      <c r="P878">
        <v>-0.36931121414839702</v>
      </c>
      <c r="Q878">
        <v>0.656862065397812</v>
      </c>
      <c r="R878">
        <v>0.60289683065805499</v>
      </c>
      <c r="S878" t="s">
        <v>2752</v>
      </c>
      <c r="T878" t="s">
        <v>3746</v>
      </c>
      <c r="U878" t="s">
        <v>3746</v>
      </c>
      <c r="V878" t="s">
        <v>3746</v>
      </c>
      <c r="W878" t="s">
        <v>4615</v>
      </c>
      <c r="X878">
        <v>1</v>
      </c>
      <c r="Z878" t="s">
        <v>8266</v>
      </c>
      <c r="AA878">
        <v>0.86362973571614954</v>
      </c>
      <c r="AB878" t="str">
        <f>HYPERLINK("Melting_Curves/meltCurve_P06311_.pdf", "Melting_Curves/meltCurve_P06311_.pdf")</f>
        <v>Melting_Curves/meltCurve_P06311_.pdf</v>
      </c>
    </row>
    <row r="879" spans="1:28" x14ac:dyDescent="0.25">
      <c r="A879" t="s">
        <v>883</v>
      </c>
      <c r="B879">
        <v>1</v>
      </c>
      <c r="C879">
        <v>0.97340240595229799</v>
      </c>
      <c r="D879">
        <v>1.31791947708782</v>
      </c>
      <c r="E879">
        <v>1.17509213545651</v>
      </c>
      <c r="F879">
        <v>0.913462207078785</v>
      </c>
      <c r="G879">
        <v>1.1988387455670699</v>
      </c>
      <c r="H879">
        <v>0.222668799109937</v>
      </c>
      <c r="I879">
        <v>0.68364508726792295</v>
      </c>
      <c r="J879">
        <v>0.65610875460677298</v>
      </c>
      <c r="K879">
        <v>0.62881579862318304</v>
      </c>
      <c r="L879">
        <v>4221.4696286790204</v>
      </c>
      <c r="M879">
        <v>71.860417842284804</v>
      </c>
      <c r="O879">
        <v>58.699960471978798</v>
      </c>
      <c r="P879">
        <v>-0.137148752736996</v>
      </c>
      <c r="Q879">
        <v>0.55187429462853299</v>
      </c>
      <c r="R879">
        <v>0.63418935815566702</v>
      </c>
      <c r="S879" t="s">
        <v>2753</v>
      </c>
      <c r="T879" t="s">
        <v>3746</v>
      </c>
      <c r="U879" t="s">
        <v>3746</v>
      </c>
      <c r="V879" t="s">
        <v>3746</v>
      </c>
      <c r="W879" t="s">
        <v>4616</v>
      </c>
      <c r="X879">
        <v>3</v>
      </c>
      <c r="Y879" t="s">
        <v>6420</v>
      </c>
      <c r="Z879" t="s">
        <v>8267</v>
      </c>
      <c r="AA879">
        <v>0.83244466449225418</v>
      </c>
      <c r="AB879" t="str">
        <f>HYPERLINK("Melting_Curves/meltCurve_P06312_IGKV4_1.pdf", "Melting_Curves/meltCurve_P06312_IGKV4_1.pdf")</f>
        <v>Melting_Curves/meltCurve_P06312_IGKV4_1.pdf</v>
      </c>
    </row>
    <row r="880" spans="1:28" x14ac:dyDescent="0.25">
      <c r="A880" t="s">
        <v>884</v>
      </c>
      <c r="B880">
        <v>1</v>
      </c>
      <c r="C880">
        <v>0.71185461083996904</v>
      </c>
      <c r="D880">
        <v>0.99858720780888799</v>
      </c>
      <c r="E880">
        <v>1.1003724633958401</v>
      </c>
      <c r="F880">
        <v>0.98969946057025404</v>
      </c>
      <c r="G880">
        <v>1.1044053429231999</v>
      </c>
      <c r="H880">
        <v>0.37762650911893098</v>
      </c>
      <c r="I880">
        <v>0.76450038530696096</v>
      </c>
      <c r="J880">
        <v>0.80462368353454905</v>
      </c>
      <c r="K880">
        <v>0.71561777549447703</v>
      </c>
      <c r="L880">
        <v>4751.2410951553502</v>
      </c>
      <c r="M880">
        <v>81.078724608414902</v>
      </c>
      <c r="O880">
        <v>58.5647209081216</v>
      </c>
      <c r="P880">
        <v>-0.114784798107743</v>
      </c>
      <c r="Q880">
        <v>0.66835497095241403</v>
      </c>
      <c r="R880">
        <v>0.49248869672877998</v>
      </c>
      <c r="S880" t="s">
        <v>2754</v>
      </c>
      <c r="T880" t="s">
        <v>3746</v>
      </c>
      <c r="U880" t="s">
        <v>3746</v>
      </c>
      <c r="V880" t="s">
        <v>3746</v>
      </c>
      <c r="W880" t="s">
        <v>4617</v>
      </c>
      <c r="X880">
        <v>1</v>
      </c>
      <c r="Z880" t="s">
        <v>8268</v>
      </c>
      <c r="AA880">
        <v>0.87430354999503357</v>
      </c>
      <c r="AB880" t="str">
        <f>HYPERLINK("Melting_Curves/meltCurve_P06318_.pdf", "Melting_Curves/meltCurve_P06318_.pdf")</f>
        <v>Melting_Curves/meltCurve_P06318_.pdf</v>
      </c>
    </row>
    <row r="881" spans="1:28" x14ac:dyDescent="0.25">
      <c r="A881" t="s">
        <v>885</v>
      </c>
      <c r="B881">
        <v>1</v>
      </c>
      <c r="C881">
        <v>0.90754449043719998</v>
      </c>
      <c r="D881">
        <v>1.0746291204640901</v>
      </c>
      <c r="E881">
        <v>1.13883433543826</v>
      </c>
      <c r="F881">
        <v>1.00021149953168</v>
      </c>
      <c r="G881">
        <v>1.1453001782638901</v>
      </c>
      <c r="H881">
        <v>0.52636190591292298</v>
      </c>
      <c r="I881">
        <v>0.92570323594283499</v>
      </c>
      <c r="J881">
        <v>0.89461280478593197</v>
      </c>
      <c r="K881">
        <v>0.82696316886726895</v>
      </c>
      <c r="L881">
        <v>2989.7481854806101</v>
      </c>
      <c r="M881">
        <v>51.019738936413802</v>
      </c>
      <c r="O881">
        <v>58.510013521735303</v>
      </c>
      <c r="P881">
        <v>-4.2670707116033497E-2</v>
      </c>
      <c r="Q881">
        <v>0.80425915481657995</v>
      </c>
      <c r="R881">
        <v>0.38689383014829998</v>
      </c>
      <c r="S881" t="s">
        <v>2755</v>
      </c>
      <c r="T881" t="s">
        <v>3746</v>
      </c>
      <c r="U881" t="s">
        <v>3746</v>
      </c>
      <c r="V881" t="s">
        <v>3746</v>
      </c>
      <c r="W881" t="s">
        <v>4618</v>
      </c>
      <c r="X881">
        <v>2</v>
      </c>
      <c r="Z881" t="s">
        <v>8269</v>
      </c>
      <c r="AA881">
        <v>0.92610045542114749</v>
      </c>
      <c r="AB881" t="str">
        <f>HYPERLINK("Melting_Curves/meltCurve_P06331_.pdf", "Melting_Curves/meltCurve_P06331_.pdf")</f>
        <v>Melting_Curves/meltCurve_P06331_.pdf</v>
      </c>
    </row>
    <row r="882" spans="1:28" x14ac:dyDescent="0.25">
      <c r="A882" t="s">
        <v>886</v>
      </c>
      <c r="B882">
        <v>1</v>
      </c>
      <c r="C882">
        <v>1.31687363038714</v>
      </c>
      <c r="D882">
        <v>2.0319211102994901</v>
      </c>
      <c r="E882">
        <v>2.7103725346968601</v>
      </c>
      <c r="F882">
        <v>2.7457268078889698</v>
      </c>
      <c r="G882">
        <v>4.0425127830533203</v>
      </c>
      <c r="H882">
        <v>2.44769905040175</v>
      </c>
      <c r="I882">
        <v>3.9807158509861198</v>
      </c>
      <c r="J882">
        <v>4.4202337472607702</v>
      </c>
      <c r="K882">
        <v>4.2647187728268801</v>
      </c>
      <c r="S882" t="s">
        <v>2756</v>
      </c>
      <c r="T882" t="s">
        <v>3746</v>
      </c>
      <c r="U882" t="s">
        <v>3747</v>
      </c>
      <c r="V882" t="s">
        <v>3746</v>
      </c>
      <c r="W882" t="s">
        <v>4619</v>
      </c>
      <c r="X882">
        <v>23</v>
      </c>
      <c r="Y882" t="s">
        <v>6421</v>
      </c>
      <c r="Z882" t="s">
        <v>8270</v>
      </c>
      <c r="AB882" t="str">
        <f>HYPERLINK("Melting_Curves/meltCurve_P06396_2_GSN.pdf", "Melting_Curves/meltCurve_P06396_2_GSN.pdf")</f>
        <v>Melting_Curves/meltCurve_P06396_2_GSN.pdf</v>
      </c>
    </row>
    <row r="883" spans="1:28" x14ac:dyDescent="0.25">
      <c r="A883" t="s">
        <v>887</v>
      </c>
      <c r="B883">
        <v>1</v>
      </c>
      <c r="C883">
        <v>1.08275671187379</v>
      </c>
      <c r="D883">
        <v>1.7626164775348301</v>
      </c>
      <c r="E883">
        <v>2.5946120490820199</v>
      </c>
      <c r="F883">
        <v>1.99935418396531</v>
      </c>
      <c r="G883">
        <v>2.0737152873881399</v>
      </c>
      <c r="H883">
        <v>0.53871205830796198</v>
      </c>
      <c r="I883">
        <v>2.2719808100378298</v>
      </c>
      <c r="J883">
        <v>2.4586216440631099</v>
      </c>
      <c r="K883">
        <v>2.25454377710121</v>
      </c>
      <c r="L883">
        <v>1.0000000000000001E-5</v>
      </c>
      <c r="M883">
        <v>23.853943402513899</v>
      </c>
      <c r="Q883">
        <v>1.5</v>
      </c>
      <c r="R883">
        <v>-0.21173820634270299</v>
      </c>
      <c r="S883" t="s">
        <v>2757</v>
      </c>
      <c r="T883" t="s">
        <v>3746</v>
      </c>
      <c r="U883" t="s">
        <v>3746</v>
      </c>
      <c r="V883" t="s">
        <v>3746</v>
      </c>
      <c r="W883" t="s">
        <v>4620</v>
      </c>
      <c r="X883">
        <v>14</v>
      </c>
      <c r="Y883" t="s">
        <v>6422</v>
      </c>
      <c r="Z883" t="s">
        <v>8271</v>
      </c>
      <c r="AA883">
        <v>1.4999999999781559</v>
      </c>
      <c r="AB883" t="str">
        <f>HYPERLINK("Melting_Curves/meltCurve_P06681_C2.pdf", "Melting_Curves/meltCurve_P06681_C2.pdf")</f>
        <v>Melting_Curves/meltCurve_P06681_C2.pdf</v>
      </c>
    </row>
    <row r="884" spans="1:28" x14ac:dyDescent="0.25">
      <c r="A884" t="s">
        <v>888</v>
      </c>
      <c r="B884">
        <v>1</v>
      </c>
      <c r="C884">
        <v>0.92799546428121504</v>
      </c>
      <c r="D884">
        <v>1.0195917853093099</v>
      </c>
      <c r="E884">
        <v>1.02589139473353</v>
      </c>
      <c r="F884">
        <v>0.81148418798034505</v>
      </c>
      <c r="G884">
        <v>1.18385410104574</v>
      </c>
      <c r="H884">
        <v>0.26949414136323502</v>
      </c>
      <c r="I884">
        <v>0.72401411112511005</v>
      </c>
      <c r="J884">
        <v>0.73903867960186498</v>
      </c>
      <c r="K884">
        <v>0.77482046113141001</v>
      </c>
      <c r="L884">
        <v>5098.1441297307301</v>
      </c>
      <c r="M884">
        <v>86.837961329688099</v>
      </c>
      <c r="O884">
        <v>58.677589331691301</v>
      </c>
      <c r="P884">
        <v>-0.13676459246786299</v>
      </c>
      <c r="Q884">
        <v>0.63034526775791799</v>
      </c>
      <c r="R884">
        <v>0.53279325565053304</v>
      </c>
      <c r="S884" t="s">
        <v>2758</v>
      </c>
      <c r="T884" t="s">
        <v>3746</v>
      </c>
      <c r="U884" t="s">
        <v>3746</v>
      </c>
      <c r="V884" t="s">
        <v>3746</v>
      </c>
      <c r="W884" t="s">
        <v>4621</v>
      </c>
      <c r="X884">
        <v>7</v>
      </c>
      <c r="Y884" t="s">
        <v>6423</v>
      </c>
      <c r="Z884" t="s">
        <v>8272</v>
      </c>
      <c r="AA884">
        <v>0.86118679843957058</v>
      </c>
      <c r="AB884" t="str">
        <f>HYPERLINK("Melting_Curves/meltCurve_P06702_S100A9.pdf", "Melting_Curves/meltCurve_P06702_S100A9.pdf")</f>
        <v>Melting_Curves/meltCurve_P06702_S100A9.pdf</v>
      </c>
    </row>
    <row r="885" spans="1:28" x14ac:dyDescent="0.25">
      <c r="A885" t="s">
        <v>889</v>
      </c>
      <c r="B885">
        <v>1</v>
      </c>
      <c r="C885">
        <v>1.01914503015998</v>
      </c>
      <c r="D885">
        <v>1.2378704432205601</v>
      </c>
      <c r="E885">
        <v>1.4191799982516</v>
      </c>
      <c r="F885">
        <v>0.90462453011626898</v>
      </c>
      <c r="G885">
        <v>0.99466736602849903</v>
      </c>
      <c r="H885">
        <v>0.63152373459218503</v>
      </c>
      <c r="I885">
        <v>0.95401695952443399</v>
      </c>
      <c r="J885">
        <v>0.97622169770084799</v>
      </c>
      <c r="K885">
        <v>0.91161814843954903</v>
      </c>
      <c r="L885">
        <v>14430.3120314343</v>
      </c>
      <c r="M885">
        <v>250</v>
      </c>
      <c r="O885">
        <v>57.717554536897701</v>
      </c>
      <c r="P885">
        <v>-0.14256358407765499</v>
      </c>
      <c r="Q885">
        <v>0.86834525755990599</v>
      </c>
      <c r="R885">
        <v>0.1782343162543</v>
      </c>
      <c r="S885" t="s">
        <v>2759</v>
      </c>
      <c r="T885" t="s">
        <v>3746</v>
      </c>
      <c r="U885" t="s">
        <v>3746</v>
      </c>
      <c r="V885" t="s">
        <v>3746</v>
      </c>
      <c r="W885" t="s">
        <v>4622</v>
      </c>
      <c r="X885">
        <v>28</v>
      </c>
      <c r="Y885" t="s">
        <v>6424</v>
      </c>
      <c r="Z885" t="s">
        <v>8273</v>
      </c>
      <c r="AA885">
        <v>0.94612813942814289</v>
      </c>
      <c r="AB885" t="str">
        <f>HYPERLINK("Melting_Curves/meltCurve_P06727_APOA4.pdf", "Melting_Curves/meltCurve_P06727_APOA4.pdf")</f>
        <v>Melting_Curves/meltCurve_P06727_APOA4.pdf</v>
      </c>
    </row>
    <row r="886" spans="1:28" x14ac:dyDescent="0.25">
      <c r="A886" t="s">
        <v>890</v>
      </c>
      <c r="B886">
        <v>1</v>
      </c>
      <c r="C886">
        <v>1.5067768895348801</v>
      </c>
      <c r="D886">
        <v>3.75526889534884</v>
      </c>
      <c r="E886">
        <v>5.4593023255814002</v>
      </c>
      <c r="F886">
        <v>3.8128633720930201</v>
      </c>
      <c r="G886">
        <v>4.2828851744185998</v>
      </c>
      <c r="H886">
        <v>2.9796511627907001</v>
      </c>
      <c r="I886">
        <v>3.91515261627907</v>
      </c>
      <c r="J886">
        <v>4.0704941860465098</v>
      </c>
      <c r="K886">
        <v>3.8746366279069799</v>
      </c>
      <c r="L886">
        <v>1285.4059976887299</v>
      </c>
      <c r="M886">
        <v>65.792204927392305</v>
      </c>
      <c r="Q886">
        <v>1.5</v>
      </c>
      <c r="R886">
        <v>-2.4556763379498898</v>
      </c>
      <c r="S886" t="s">
        <v>2760</v>
      </c>
      <c r="T886" t="s">
        <v>3746</v>
      </c>
      <c r="U886" t="s">
        <v>3746</v>
      </c>
      <c r="V886" t="s">
        <v>3746</v>
      </c>
      <c r="W886" t="s">
        <v>4623</v>
      </c>
      <c r="X886">
        <v>17</v>
      </c>
      <c r="Y886" t="s">
        <v>6425</v>
      </c>
      <c r="Z886" t="s">
        <v>8274</v>
      </c>
      <c r="AA886">
        <v>1.5</v>
      </c>
      <c r="AB886" t="str">
        <f>HYPERLINK("Melting_Curves/meltCurve_P06733_ENO1.pdf", "Melting_Curves/meltCurve_P06733_ENO1.pdf")</f>
        <v>Melting_Curves/meltCurve_P06733_ENO1.pdf</v>
      </c>
    </row>
    <row r="887" spans="1:28" x14ac:dyDescent="0.25">
      <c r="A887" t="s">
        <v>891</v>
      </c>
      <c r="B887">
        <v>1</v>
      </c>
      <c r="C887">
        <v>1.0485316265060201</v>
      </c>
      <c r="D887">
        <v>1.4170557228915699</v>
      </c>
      <c r="E887">
        <v>1.84088855421687</v>
      </c>
      <c r="F887">
        <v>2.09314759036145</v>
      </c>
      <c r="G887">
        <v>3.2011295180722898</v>
      </c>
      <c r="H887">
        <v>1.92473644578313</v>
      </c>
      <c r="I887">
        <v>3.07353162650602</v>
      </c>
      <c r="J887">
        <v>3.07868975903614</v>
      </c>
      <c r="K887">
        <v>2.62059487951807</v>
      </c>
      <c r="L887">
        <v>2697.2077426485198</v>
      </c>
      <c r="M887">
        <v>60.404396932918097</v>
      </c>
      <c r="O887">
        <v>44.6036442561375</v>
      </c>
      <c r="P887">
        <v>0.16928107034921899</v>
      </c>
      <c r="Q887">
        <v>1.5</v>
      </c>
      <c r="R887">
        <v>-0.56020376677231198</v>
      </c>
      <c r="S887" t="s">
        <v>2761</v>
      </c>
      <c r="T887" t="s">
        <v>3746</v>
      </c>
      <c r="U887" t="s">
        <v>3746</v>
      </c>
      <c r="V887" t="s">
        <v>3746</v>
      </c>
      <c r="W887" t="s">
        <v>4624</v>
      </c>
      <c r="X887">
        <v>10</v>
      </c>
      <c r="Y887" t="s">
        <v>6426</v>
      </c>
      <c r="Z887" t="s">
        <v>8275</v>
      </c>
      <c r="AA887">
        <v>1.421776104107412</v>
      </c>
      <c r="AB887" t="str">
        <f>HYPERLINK("Melting_Curves/meltCurve_P06744_GPI.pdf", "Melting_Curves/meltCurve_P06744_GPI.pdf")</f>
        <v>Melting_Curves/meltCurve_P06744_GPI.pdf</v>
      </c>
    </row>
    <row r="888" spans="1:28" x14ac:dyDescent="0.25">
      <c r="A888" t="s">
        <v>892</v>
      </c>
      <c r="B888">
        <v>1</v>
      </c>
      <c r="C888">
        <v>1.0765804597701101</v>
      </c>
      <c r="D888">
        <v>1.5599616858237499</v>
      </c>
      <c r="E888">
        <v>2.0784482758620699</v>
      </c>
      <c r="F888">
        <v>1.37289272030651</v>
      </c>
      <c r="G888">
        <v>1.4683908045977001</v>
      </c>
      <c r="H888">
        <v>1.16417624521073</v>
      </c>
      <c r="I888">
        <v>1.77088122605364</v>
      </c>
      <c r="J888">
        <v>1.8808908045977</v>
      </c>
      <c r="K888">
        <v>1.8423371647509601</v>
      </c>
      <c r="L888">
        <v>10798.3598570879</v>
      </c>
      <c r="M888">
        <v>250</v>
      </c>
      <c r="O888">
        <v>43.1906753691609</v>
      </c>
      <c r="P888">
        <v>0.72353580476443902</v>
      </c>
      <c r="Q888">
        <v>1.5</v>
      </c>
      <c r="R888">
        <v>0.34570139857374399</v>
      </c>
      <c r="S888" t="s">
        <v>2762</v>
      </c>
      <c r="T888" t="s">
        <v>3746</v>
      </c>
      <c r="U888" t="s">
        <v>3746</v>
      </c>
      <c r="V888" t="s">
        <v>3746</v>
      </c>
      <c r="W888" t="s">
        <v>4625</v>
      </c>
      <c r="X888">
        <v>13</v>
      </c>
      <c r="Y888" t="s">
        <v>6427</v>
      </c>
      <c r="Z888" t="s">
        <v>8276</v>
      </c>
      <c r="AA888">
        <v>1.4467381076152299</v>
      </c>
      <c r="AB888" t="str">
        <f>HYPERLINK("Melting_Curves/meltCurve_P06858_LPL.pdf", "Melting_Curves/meltCurve_P06858_LPL.pdf")</f>
        <v>Melting_Curves/meltCurve_P06858_LPL.pdf</v>
      </c>
    </row>
    <row r="889" spans="1:28" x14ac:dyDescent="0.25">
      <c r="A889" t="s">
        <v>893</v>
      </c>
      <c r="B889">
        <v>1</v>
      </c>
      <c r="C889">
        <v>1.0505977579842201</v>
      </c>
      <c r="D889">
        <v>1.18613472415078</v>
      </c>
      <c r="E889">
        <v>1.1021099332813999</v>
      </c>
      <c r="F889">
        <v>0.84397331256138497</v>
      </c>
      <c r="G889">
        <v>1.2717174111829801</v>
      </c>
      <c r="H889">
        <v>0.384732617604227</v>
      </c>
      <c r="I889">
        <v>0.90110746096792804</v>
      </c>
      <c r="J889">
        <v>0.76038879669455095</v>
      </c>
      <c r="K889">
        <v>0.74684187353947196</v>
      </c>
      <c r="L889">
        <v>2944.8349840709102</v>
      </c>
      <c r="M889">
        <v>50.030922419898303</v>
      </c>
      <c r="O889">
        <v>58.766477693674901</v>
      </c>
      <c r="P889">
        <v>-5.6972775839717299E-2</v>
      </c>
      <c r="Q889">
        <v>0.73231858174101505</v>
      </c>
      <c r="R889">
        <v>0.417627976976992</v>
      </c>
      <c r="S889" t="s">
        <v>2763</v>
      </c>
      <c r="T889" t="s">
        <v>3746</v>
      </c>
      <c r="U889" t="s">
        <v>3746</v>
      </c>
      <c r="V889" t="s">
        <v>3746</v>
      </c>
      <c r="W889" t="s">
        <v>4626</v>
      </c>
      <c r="X889">
        <v>3</v>
      </c>
      <c r="Y889" t="s">
        <v>6428</v>
      </c>
      <c r="Z889" t="s">
        <v>8277</v>
      </c>
      <c r="AA889">
        <v>0.90129231565573986</v>
      </c>
      <c r="AB889" t="str">
        <f>HYPERLINK("Melting_Curves/meltCurve_P07093_2_SERPINE2.pdf", "Melting_Curves/meltCurve_P07093_2_SERPINE2.pdf")</f>
        <v>Melting_Curves/meltCurve_P07093_2_SERPINE2.pdf</v>
      </c>
    </row>
    <row r="890" spans="1:28" x14ac:dyDescent="0.25">
      <c r="A890" t="s">
        <v>894</v>
      </c>
      <c r="B890">
        <v>1</v>
      </c>
      <c r="C890">
        <v>0.93257376717865803</v>
      </c>
      <c r="D890">
        <v>1.11446544058205</v>
      </c>
      <c r="E890">
        <v>1.20883437752627</v>
      </c>
      <c r="F890">
        <v>0.76576394502829404</v>
      </c>
      <c r="G890">
        <v>1.07394401778496</v>
      </c>
      <c r="H890">
        <v>0.48441289409862598</v>
      </c>
      <c r="I890">
        <v>0.81356103476151997</v>
      </c>
      <c r="J890">
        <v>0.762176637025061</v>
      </c>
      <c r="K890">
        <v>0.68508740905416299</v>
      </c>
      <c r="L890">
        <v>14705.3658459543</v>
      </c>
      <c r="M890">
        <v>250</v>
      </c>
      <c r="O890">
        <v>58.817699213763198</v>
      </c>
      <c r="P890">
        <v>-0.33332646495807999</v>
      </c>
      <c r="Q890">
        <v>0.68631206834514702</v>
      </c>
      <c r="R890">
        <v>0.584393782749971</v>
      </c>
      <c r="S890" t="s">
        <v>2764</v>
      </c>
      <c r="T890" t="s">
        <v>3746</v>
      </c>
      <c r="U890" t="s">
        <v>3746</v>
      </c>
      <c r="V890" t="s">
        <v>3746</v>
      </c>
      <c r="W890" t="s">
        <v>4627</v>
      </c>
      <c r="X890">
        <v>4</v>
      </c>
      <c r="Y890" t="s">
        <v>6429</v>
      </c>
      <c r="Z890" t="s">
        <v>8278</v>
      </c>
      <c r="AA890">
        <v>0.88314664790604014</v>
      </c>
      <c r="AB890" t="str">
        <f>HYPERLINK("Melting_Curves/meltCurve_P07108_DBI.pdf", "Melting_Curves/meltCurve_P07108_DBI.pdf")</f>
        <v>Melting_Curves/meltCurve_P07108_DBI.pdf</v>
      </c>
    </row>
    <row r="891" spans="1:28" x14ac:dyDescent="0.25">
      <c r="A891" t="s">
        <v>895</v>
      </c>
      <c r="B891">
        <v>1</v>
      </c>
      <c r="C891">
        <v>1.47753989295183</v>
      </c>
      <c r="D891">
        <v>3.0406182782252</v>
      </c>
      <c r="E891">
        <v>3.9425241358611398</v>
      </c>
      <c r="F891">
        <v>3.00935420939423</v>
      </c>
      <c r="G891">
        <v>3.2101945875643998</v>
      </c>
      <c r="H891">
        <v>1.7201740783352499</v>
      </c>
      <c r="I891">
        <v>2.9405732579660802</v>
      </c>
      <c r="J891">
        <v>2.9828422790255602</v>
      </c>
      <c r="K891">
        <v>2.73698164173878</v>
      </c>
      <c r="L891">
        <v>334.20891431089802</v>
      </c>
      <c r="M891">
        <v>63.986175433265402</v>
      </c>
      <c r="Q891">
        <v>1.5</v>
      </c>
      <c r="R891">
        <v>-1.6507214119659399</v>
      </c>
      <c r="S891" t="s">
        <v>2765</v>
      </c>
      <c r="T891" t="s">
        <v>3746</v>
      </c>
      <c r="U891" t="s">
        <v>3746</v>
      </c>
      <c r="V891" t="s">
        <v>3746</v>
      </c>
      <c r="W891" t="s">
        <v>4628</v>
      </c>
      <c r="X891">
        <v>15</v>
      </c>
      <c r="Y891" t="s">
        <v>6430</v>
      </c>
      <c r="Z891" t="s">
        <v>8279</v>
      </c>
      <c r="AA891">
        <v>1.5</v>
      </c>
      <c r="AB891" t="str">
        <f>HYPERLINK("Melting_Curves/meltCurve_P07195_LDHB.pdf", "Melting_Curves/meltCurve_P07195_LDHB.pdf")</f>
        <v>Melting_Curves/meltCurve_P07195_LDHB.pdf</v>
      </c>
    </row>
    <row r="892" spans="1:28" x14ac:dyDescent="0.25">
      <c r="A892" t="s">
        <v>896</v>
      </c>
      <c r="B892">
        <v>1</v>
      </c>
      <c r="C892">
        <v>1.0466960557926901</v>
      </c>
      <c r="D892">
        <v>1.4760338674690401</v>
      </c>
      <c r="E892">
        <v>1.80001399482192</v>
      </c>
      <c r="F892">
        <v>1.5087117766426399</v>
      </c>
      <c r="G892">
        <v>2.00296223730553</v>
      </c>
      <c r="H892">
        <v>1.47554404870198</v>
      </c>
      <c r="I892">
        <v>2.3851841485317098</v>
      </c>
      <c r="J892">
        <v>2.4521260466960602</v>
      </c>
      <c r="K892">
        <v>2.50717234623189</v>
      </c>
      <c r="L892">
        <v>3410.3369962022098</v>
      </c>
      <c r="M892">
        <v>77.210509928415604</v>
      </c>
      <c r="O892">
        <v>44.139737741998303</v>
      </c>
      <c r="P892">
        <v>0.21865368276042299</v>
      </c>
      <c r="Q892">
        <v>1.5</v>
      </c>
      <c r="R892">
        <v>-8.8794717021388303E-2</v>
      </c>
      <c r="S892" t="s">
        <v>2766</v>
      </c>
      <c r="T892" t="s">
        <v>3746</v>
      </c>
      <c r="U892" t="s">
        <v>3746</v>
      </c>
      <c r="V892" t="s">
        <v>3746</v>
      </c>
      <c r="W892" t="s">
        <v>4629</v>
      </c>
      <c r="X892">
        <v>4</v>
      </c>
      <c r="Y892" t="s">
        <v>6431</v>
      </c>
      <c r="Z892" t="s">
        <v>8280</v>
      </c>
      <c r="AA892">
        <v>1.4301014162668511</v>
      </c>
      <c r="AB892" t="str">
        <f>HYPERLINK("Melting_Curves/meltCurve_P07203_GPX1.pdf", "Melting_Curves/meltCurve_P07203_GPX1.pdf")</f>
        <v>Melting_Curves/meltCurve_P07203_GPX1.pdf</v>
      </c>
    </row>
    <row r="893" spans="1:28" x14ac:dyDescent="0.25">
      <c r="A893" t="s">
        <v>897</v>
      </c>
      <c r="B893">
        <v>1</v>
      </c>
      <c r="C893">
        <v>1.0982115245850901</v>
      </c>
      <c r="D893">
        <v>2.0733429543346</v>
      </c>
      <c r="E893">
        <v>4.5982372951242096</v>
      </c>
      <c r="F893">
        <v>3.1099886609627898</v>
      </c>
      <c r="G893">
        <v>3.6047830120606101</v>
      </c>
      <c r="H893">
        <v>2.4853365632408999</v>
      </c>
      <c r="I893">
        <v>3.4053190392742998</v>
      </c>
      <c r="J893">
        <v>3.7542521389547501</v>
      </c>
      <c r="K893">
        <v>3.4517060096897199</v>
      </c>
      <c r="L893">
        <v>10785.437296432299</v>
      </c>
      <c r="M893">
        <v>250</v>
      </c>
      <c r="O893">
        <v>43.138965108325202</v>
      </c>
      <c r="P893">
        <v>0.72440270514586502</v>
      </c>
      <c r="Q893">
        <v>1.5</v>
      </c>
      <c r="R893">
        <v>-1.45330982399246</v>
      </c>
      <c r="S893" t="s">
        <v>2767</v>
      </c>
      <c r="T893" t="s">
        <v>3746</v>
      </c>
      <c r="U893" t="s">
        <v>3746</v>
      </c>
      <c r="V893" t="s">
        <v>3746</v>
      </c>
      <c r="W893" t="s">
        <v>4630</v>
      </c>
      <c r="X893">
        <v>21</v>
      </c>
      <c r="Y893" t="s">
        <v>6432</v>
      </c>
      <c r="Z893" t="s">
        <v>8281</v>
      </c>
      <c r="AA893">
        <v>1.4475996570146139</v>
      </c>
      <c r="AB893" t="str">
        <f>HYPERLINK("Melting_Curves/meltCurve_P07237_P4HB.pdf", "Melting_Curves/meltCurve_P07237_P4HB.pdf")</f>
        <v>Melting_Curves/meltCurve_P07237_P4HB.pdf</v>
      </c>
    </row>
    <row r="894" spans="1:28" x14ac:dyDescent="0.25">
      <c r="A894" t="s">
        <v>898</v>
      </c>
      <c r="B894">
        <v>1</v>
      </c>
      <c r="C894">
        <v>1.08676624488631</v>
      </c>
      <c r="D894">
        <v>1.9205594139472899</v>
      </c>
      <c r="E894">
        <v>2.9990486157359002</v>
      </c>
      <c r="F894">
        <v>2.5100371039863001</v>
      </c>
      <c r="G894">
        <v>3.2045000475692098</v>
      </c>
      <c r="H894">
        <v>1.49167538768909</v>
      </c>
      <c r="I894">
        <v>2.4895823423080601</v>
      </c>
      <c r="J894">
        <v>2.4459613737988799</v>
      </c>
      <c r="K894">
        <v>2.2916468461611599</v>
      </c>
      <c r="L894">
        <v>10791.9578001185</v>
      </c>
      <c r="M894">
        <v>250</v>
      </c>
      <c r="O894">
        <v>43.165068680250897</v>
      </c>
      <c r="P894">
        <v>0.72396502414492303</v>
      </c>
      <c r="Q894">
        <v>1.5</v>
      </c>
      <c r="R894">
        <v>-0.72721404591390004</v>
      </c>
      <c r="S894" t="s">
        <v>2768</v>
      </c>
      <c r="T894" t="s">
        <v>3746</v>
      </c>
      <c r="U894" t="s">
        <v>3746</v>
      </c>
      <c r="V894" t="s">
        <v>3746</v>
      </c>
      <c r="W894" t="s">
        <v>4631</v>
      </c>
      <c r="X894">
        <v>13</v>
      </c>
      <c r="Y894" t="s">
        <v>6433</v>
      </c>
      <c r="Z894" t="s">
        <v>8282</v>
      </c>
      <c r="AA894">
        <v>1.447164933883293</v>
      </c>
      <c r="AB894" t="str">
        <f>HYPERLINK("Melting_Curves/meltCurve_P07339_CTSD.pdf", "Melting_Curves/meltCurve_P07339_CTSD.pdf")</f>
        <v>Melting_Curves/meltCurve_P07339_CTSD.pdf</v>
      </c>
    </row>
    <row r="895" spans="1:28" x14ac:dyDescent="0.25">
      <c r="A895" t="s">
        <v>899</v>
      </c>
      <c r="B895">
        <v>1</v>
      </c>
      <c r="C895">
        <v>1.09310145715159</v>
      </c>
      <c r="D895">
        <v>1.93454706022214</v>
      </c>
      <c r="E895">
        <v>4.1719031282904799</v>
      </c>
      <c r="F895">
        <v>3.3470330491491498</v>
      </c>
      <c r="G895">
        <v>3.5657756190346799</v>
      </c>
      <c r="H895">
        <v>2.2945891783567101</v>
      </c>
      <c r="I895">
        <v>3.43194864304881</v>
      </c>
      <c r="J895">
        <v>3.5170340681362702</v>
      </c>
      <c r="K895">
        <v>3.1451037668557502</v>
      </c>
      <c r="S895" t="s">
        <v>2769</v>
      </c>
      <c r="T895" t="s">
        <v>3746</v>
      </c>
      <c r="U895" t="s">
        <v>3747</v>
      </c>
      <c r="V895" t="s">
        <v>3746</v>
      </c>
      <c r="W895" t="s">
        <v>4632</v>
      </c>
      <c r="X895">
        <v>12</v>
      </c>
      <c r="Y895" t="s">
        <v>6434</v>
      </c>
      <c r="Z895" t="s">
        <v>8283</v>
      </c>
      <c r="AB895" t="str">
        <f>HYPERLINK("Melting_Curves/meltCurve_P07357_C8A.pdf", "Melting_Curves/meltCurve_P07357_C8A.pdf")</f>
        <v>Melting_Curves/meltCurve_P07357_C8A.pdf</v>
      </c>
    </row>
    <row r="896" spans="1:28" x14ac:dyDescent="0.25">
      <c r="A896" t="s">
        <v>900</v>
      </c>
      <c r="B896">
        <v>1</v>
      </c>
      <c r="C896">
        <v>1.0337772609592299</v>
      </c>
      <c r="D896">
        <v>1.7515029180745101</v>
      </c>
      <c r="E896">
        <v>4.1192022466979701</v>
      </c>
      <c r="F896">
        <v>3.0838343060248401</v>
      </c>
      <c r="G896">
        <v>3.2390627056913401</v>
      </c>
      <c r="H896">
        <v>2.33994471016719</v>
      </c>
      <c r="I896">
        <v>3.1321032076879201</v>
      </c>
      <c r="J896">
        <v>3.3668655930492801</v>
      </c>
      <c r="K896">
        <v>3.10599411997016</v>
      </c>
      <c r="L896">
        <v>10837.604362035599</v>
      </c>
      <c r="M896">
        <v>250</v>
      </c>
      <c r="O896">
        <v>43.3476444802941</v>
      </c>
      <c r="P896">
        <v>0.72091577882427704</v>
      </c>
      <c r="Q896">
        <v>1.5</v>
      </c>
      <c r="R896">
        <v>-1.2166251683743701</v>
      </c>
      <c r="S896" t="s">
        <v>2770</v>
      </c>
      <c r="T896" t="s">
        <v>3746</v>
      </c>
      <c r="U896" t="s">
        <v>3746</v>
      </c>
      <c r="V896" t="s">
        <v>3746</v>
      </c>
      <c r="W896" t="s">
        <v>4633</v>
      </c>
      <c r="X896">
        <v>14</v>
      </c>
      <c r="Y896" t="s">
        <v>6435</v>
      </c>
      <c r="Z896" t="s">
        <v>8284</v>
      </c>
      <c r="AA896">
        <v>1.444121669541697</v>
      </c>
      <c r="AB896" t="str">
        <f>HYPERLINK("Melting_Curves/meltCurve_P07358_C8B.pdf", "Melting_Curves/meltCurve_P07358_C8B.pdf")</f>
        <v>Melting_Curves/meltCurve_P07358_C8B.pdf</v>
      </c>
    </row>
    <row r="897" spans="1:28" x14ac:dyDescent="0.25">
      <c r="A897" t="s">
        <v>901</v>
      </c>
      <c r="B897">
        <v>1</v>
      </c>
      <c r="C897">
        <v>1.0147800871220301</v>
      </c>
      <c r="D897">
        <v>1.8172992169236499</v>
      </c>
      <c r="E897">
        <v>3.2173835285701502</v>
      </c>
      <c r="F897">
        <v>2.35587179519935</v>
      </c>
      <c r="G897">
        <v>2.8194581060538302</v>
      </c>
      <c r="H897">
        <v>1.75891978896539</v>
      </c>
      <c r="I897">
        <v>2.6452140366116899</v>
      </c>
      <c r="J897">
        <v>2.60088654973748</v>
      </c>
      <c r="K897">
        <v>2.3975166387756901</v>
      </c>
      <c r="S897" t="s">
        <v>2771</v>
      </c>
      <c r="T897" t="s">
        <v>3746</v>
      </c>
      <c r="U897" t="s">
        <v>3747</v>
      </c>
      <c r="V897" t="s">
        <v>3746</v>
      </c>
      <c r="W897" t="s">
        <v>4634</v>
      </c>
      <c r="X897">
        <v>9</v>
      </c>
      <c r="Y897" t="s">
        <v>6436</v>
      </c>
      <c r="Z897" t="s">
        <v>8285</v>
      </c>
      <c r="AB897" t="str">
        <f>HYPERLINK("Melting_Curves/meltCurve_P07360_C8G.pdf", "Melting_Curves/meltCurve_P07360_C8G.pdf")</f>
        <v>Melting_Curves/meltCurve_P07360_C8G.pdf</v>
      </c>
    </row>
    <row r="898" spans="1:28" x14ac:dyDescent="0.25">
      <c r="A898" t="s">
        <v>902</v>
      </c>
      <c r="B898">
        <v>1</v>
      </c>
      <c r="C898">
        <v>1.0706335927838799</v>
      </c>
      <c r="D898">
        <v>1.5575580126573101</v>
      </c>
      <c r="E898">
        <v>1.8967774787226299</v>
      </c>
      <c r="F898">
        <v>1.50714701389394</v>
      </c>
      <c r="G898">
        <v>1.65947115734342</v>
      </c>
      <c r="H898">
        <v>1.08329089983269</v>
      </c>
      <c r="I898">
        <v>1.68876845857278</v>
      </c>
      <c r="J898">
        <v>1.6569797046628401</v>
      </c>
      <c r="K898">
        <v>1.49378046119153</v>
      </c>
      <c r="L898">
        <v>10802.4260487961</v>
      </c>
      <c r="M898">
        <v>250</v>
      </c>
      <c r="O898">
        <v>43.206939071574702</v>
      </c>
      <c r="P898">
        <v>0.72326345526845104</v>
      </c>
      <c r="Q898">
        <v>1.5</v>
      </c>
      <c r="R898">
        <v>0.49958229776876201</v>
      </c>
      <c r="S898" t="s">
        <v>2772</v>
      </c>
      <c r="T898" t="s">
        <v>3746</v>
      </c>
      <c r="U898" t="s">
        <v>3746</v>
      </c>
      <c r="V898" t="s">
        <v>3746</v>
      </c>
      <c r="W898" t="s">
        <v>4635</v>
      </c>
      <c r="X898">
        <v>10</v>
      </c>
      <c r="Y898" t="s">
        <v>6437</v>
      </c>
      <c r="Z898" t="s">
        <v>8286</v>
      </c>
      <c r="AA898">
        <v>1.4464670138963209</v>
      </c>
      <c r="AB898" t="str">
        <f>HYPERLINK("Melting_Curves/meltCurve_P07384_CAPN1.pdf", "Melting_Curves/meltCurve_P07384_CAPN1.pdf")</f>
        <v>Melting_Curves/meltCurve_P07384_CAPN1.pdf</v>
      </c>
    </row>
    <row r="899" spans="1:28" x14ac:dyDescent="0.25">
      <c r="A899" t="s">
        <v>903</v>
      </c>
      <c r="B899">
        <v>1</v>
      </c>
      <c r="C899">
        <v>0.85757247684349802</v>
      </c>
      <c r="D899">
        <v>0.93564296884397902</v>
      </c>
      <c r="E899">
        <v>0.97744496571634798</v>
      </c>
      <c r="F899">
        <v>0.65698303861421903</v>
      </c>
      <c r="G899">
        <v>0.67923733910742201</v>
      </c>
      <c r="H899">
        <v>0.40349452664501401</v>
      </c>
      <c r="I899">
        <v>0.58045831829664396</v>
      </c>
      <c r="J899">
        <v>0.55339829183207001</v>
      </c>
      <c r="K899">
        <v>0.54592204980151604</v>
      </c>
      <c r="L899">
        <v>3200.9873625678802</v>
      </c>
      <c r="M899">
        <v>61.4884698960878</v>
      </c>
      <c r="O899">
        <v>52.003357491068698</v>
      </c>
      <c r="P899">
        <v>-0.13270387771536701</v>
      </c>
      <c r="Q899">
        <v>0.551067417008405</v>
      </c>
      <c r="R899">
        <v>0.83953059852798695</v>
      </c>
      <c r="S899" t="s">
        <v>2773</v>
      </c>
      <c r="T899" t="s">
        <v>3746</v>
      </c>
      <c r="U899" t="s">
        <v>3746</v>
      </c>
      <c r="V899" t="s">
        <v>3746</v>
      </c>
      <c r="W899" t="s">
        <v>4636</v>
      </c>
      <c r="X899">
        <v>9</v>
      </c>
      <c r="Y899" t="s">
        <v>6438</v>
      </c>
      <c r="Z899" t="s">
        <v>8287</v>
      </c>
      <c r="AA899">
        <v>0.73219375583001611</v>
      </c>
      <c r="AB899" t="str">
        <f>HYPERLINK("Melting_Curves/meltCurve_P07498_CSN3.pdf", "Melting_Curves/meltCurve_P07498_CSN3.pdf")</f>
        <v>Melting_Curves/meltCurve_P07498_CSN3.pdf</v>
      </c>
    </row>
    <row r="900" spans="1:28" x14ac:dyDescent="0.25">
      <c r="A900" t="s">
        <v>904</v>
      </c>
      <c r="B900">
        <v>1</v>
      </c>
      <c r="C900">
        <v>0.99011778224648095</v>
      </c>
      <c r="D900">
        <v>1.2409652398736</v>
      </c>
      <c r="E900">
        <v>2.0164320597529399</v>
      </c>
      <c r="F900">
        <v>2.0842861246768201</v>
      </c>
      <c r="G900">
        <v>2.9193335248491801</v>
      </c>
      <c r="H900">
        <v>2.1925883366848602</v>
      </c>
      <c r="I900">
        <v>3.3845446710715299</v>
      </c>
      <c r="J900">
        <v>3.4813559322033898</v>
      </c>
      <c r="K900">
        <v>3.2251077276644602</v>
      </c>
      <c r="L900">
        <v>11503.326238952401</v>
      </c>
      <c r="M900">
        <v>250</v>
      </c>
      <c r="O900">
        <v>46.010360298387802</v>
      </c>
      <c r="P900">
        <v>0.67919485434369797</v>
      </c>
      <c r="Q900">
        <v>1.5</v>
      </c>
      <c r="R900">
        <v>-0.60319164317743301</v>
      </c>
      <c r="S900" t="s">
        <v>2774</v>
      </c>
      <c r="T900" t="s">
        <v>3746</v>
      </c>
      <c r="U900" t="s">
        <v>3746</v>
      </c>
      <c r="V900" t="s">
        <v>3746</v>
      </c>
      <c r="W900" t="s">
        <v>4637</v>
      </c>
      <c r="X900">
        <v>13</v>
      </c>
      <c r="Y900" t="s">
        <v>6439</v>
      </c>
      <c r="Z900" t="s">
        <v>8288</v>
      </c>
      <c r="AA900">
        <v>1.3997378744194711</v>
      </c>
      <c r="AB900" t="str">
        <f>HYPERLINK("Melting_Curves/meltCurve_P07686_HEXB.pdf", "Melting_Curves/meltCurve_P07686_HEXB.pdf")</f>
        <v>Melting_Curves/meltCurve_P07686_HEXB.pdf</v>
      </c>
    </row>
    <row r="901" spans="1:28" x14ac:dyDescent="0.25">
      <c r="A901" t="s">
        <v>905</v>
      </c>
      <c r="B901">
        <v>1</v>
      </c>
      <c r="C901">
        <v>0.98731480584874598</v>
      </c>
      <c r="D901">
        <v>1.62351118427423</v>
      </c>
      <c r="E901">
        <v>2.0458022659049102</v>
      </c>
      <c r="F901">
        <v>1.58255059552629</v>
      </c>
      <c r="G901">
        <v>2.1644233562506101</v>
      </c>
      <c r="H901">
        <v>2.07698266679578</v>
      </c>
      <c r="I901">
        <v>3.36961363416287</v>
      </c>
      <c r="J901">
        <v>3.66360027113392</v>
      </c>
      <c r="K901">
        <v>3.31935702527355</v>
      </c>
      <c r="L901">
        <v>11050.3387083205</v>
      </c>
      <c r="M901">
        <v>250</v>
      </c>
      <c r="O901">
        <v>44.198542823826699</v>
      </c>
      <c r="P901">
        <v>0.70703714866944101</v>
      </c>
      <c r="Q901">
        <v>1.5</v>
      </c>
      <c r="R901">
        <v>-0.493376451142364</v>
      </c>
      <c r="S901" t="s">
        <v>2775</v>
      </c>
      <c r="T901" t="s">
        <v>3746</v>
      </c>
      <c r="U901" t="s">
        <v>3746</v>
      </c>
      <c r="V901" t="s">
        <v>3746</v>
      </c>
      <c r="W901" t="s">
        <v>4638</v>
      </c>
      <c r="X901">
        <v>8</v>
      </c>
      <c r="Y901" t="s">
        <v>6440</v>
      </c>
      <c r="Z901" t="s">
        <v>8289</v>
      </c>
      <c r="AA901">
        <v>1.429938633100384</v>
      </c>
      <c r="AB901" t="str">
        <f>HYPERLINK("Melting_Curves/meltCurve_P07737_PFN1.pdf", "Melting_Curves/meltCurve_P07737_PFN1.pdf")</f>
        <v>Melting_Curves/meltCurve_P07737_PFN1.pdf</v>
      </c>
    </row>
    <row r="902" spans="1:28" x14ac:dyDescent="0.25">
      <c r="A902" t="s">
        <v>906</v>
      </c>
      <c r="B902">
        <v>1</v>
      </c>
      <c r="C902">
        <v>0.99981096408317605</v>
      </c>
      <c r="D902">
        <v>1.3983931947069901</v>
      </c>
      <c r="E902">
        <v>1.6589792060491499</v>
      </c>
      <c r="F902">
        <v>1.2138941398865799</v>
      </c>
      <c r="G902">
        <v>1.2603024574669199</v>
      </c>
      <c r="H902">
        <v>0.98809073724007601</v>
      </c>
      <c r="I902">
        <v>1.4394139886578401</v>
      </c>
      <c r="J902">
        <v>1.7706994328922501</v>
      </c>
      <c r="K902">
        <v>1.8017958412098301</v>
      </c>
      <c r="L902">
        <v>463.21947217347298</v>
      </c>
      <c r="M902">
        <v>9.9901989239984204</v>
      </c>
      <c r="O902">
        <v>44.624338537155502</v>
      </c>
      <c r="P902">
        <v>2.79978140258157E-2</v>
      </c>
      <c r="Q902">
        <v>1.5</v>
      </c>
      <c r="R902">
        <v>0.29264344838224599</v>
      </c>
      <c r="S902" t="s">
        <v>2776</v>
      </c>
      <c r="T902" t="s">
        <v>3746</v>
      </c>
      <c r="U902" t="s">
        <v>3746</v>
      </c>
      <c r="V902" t="s">
        <v>3746</v>
      </c>
      <c r="W902" t="s">
        <v>3836</v>
      </c>
      <c r="X902">
        <v>7</v>
      </c>
      <c r="Y902" t="s">
        <v>6441</v>
      </c>
      <c r="Z902" t="s">
        <v>8290</v>
      </c>
      <c r="AA902">
        <v>1.3635281579782439</v>
      </c>
      <c r="AB902" t="str">
        <f>HYPERLINK("Melting_Curves/meltCurve_P07814_EPRS.pdf", "Melting_Curves/meltCurve_P07814_EPRS.pdf")</f>
        <v>Melting_Curves/meltCurve_P07814_EPRS.pdf</v>
      </c>
    </row>
    <row r="903" spans="1:28" x14ac:dyDescent="0.25">
      <c r="A903" t="s">
        <v>907</v>
      </c>
      <c r="B903">
        <v>1</v>
      </c>
      <c r="C903">
        <v>1.34491971320302</v>
      </c>
      <c r="D903">
        <v>2.5699408413074898</v>
      </c>
      <c r="E903">
        <v>3.09179139063821</v>
      </c>
      <c r="F903">
        <v>2.3138409530819799</v>
      </c>
      <c r="G903">
        <v>2.5394618467326402</v>
      </c>
      <c r="H903">
        <v>1.52604890815409</v>
      </c>
      <c r="I903">
        <v>2.21111747226084</v>
      </c>
      <c r="J903">
        <v>2.2828439791717798</v>
      </c>
      <c r="K903">
        <v>2.0935089010659498</v>
      </c>
      <c r="L903">
        <v>1136.64119988011</v>
      </c>
      <c r="M903">
        <v>57.677522382778797</v>
      </c>
      <c r="Q903">
        <v>1.5</v>
      </c>
      <c r="R903">
        <v>-0.99154494065703402</v>
      </c>
      <c r="S903" t="s">
        <v>2777</v>
      </c>
      <c r="T903" t="s">
        <v>3746</v>
      </c>
      <c r="U903" t="s">
        <v>3746</v>
      </c>
      <c r="V903" t="s">
        <v>3746</v>
      </c>
      <c r="W903" t="s">
        <v>4639</v>
      </c>
      <c r="X903">
        <v>12</v>
      </c>
      <c r="Y903" t="s">
        <v>6442</v>
      </c>
      <c r="Z903" t="s">
        <v>8291</v>
      </c>
      <c r="AA903">
        <v>1.4999999999999949</v>
      </c>
      <c r="AB903" t="str">
        <f>HYPERLINK("Melting_Curves/meltCurve_P07858_CTSB.pdf", "Melting_Curves/meltCurve_P07858_CTSB.pdf")</f>
        <v>Melting_Curves/meltCurve_P07858_CTSB.pdf</v>
      </c>
    </row>
    <row r="904" spans="1:28" x14ac:dyDescent="0.25">
      <c r="A904" t="s">
        <v>908</v>
      </c>
      <c r="B904">
        <v>1</v>
      </c>
      <c r="C904">
        <v>1.08568902966796</v>
      </c>
      <c r="D904">
        <v>2.10695935618129</v>
      </c>
      <c r="E904">
        <v>3.7995617023627601</v>
      </c>
      <c r="F904">
        <v>2.7192869376254598</v>
      </c>
      <c r="G904">
        <v>3.1590578442386001</v>
      </c>
      <c r="H904">
        <v>2.1778604445590299</v>
      </c>
      <c r="I904">
        <v>3.3080422091674202</v>
      </c>
      <c r="J904">
        <v>3.4522384486473499</v>
      </c>
      <c r="K904">
        <v>3.1728697445719201</v>
      </c>
      <c r="S904" t="s">
        <v>2778</v>
      </c>
      <c r="T904" t="s">
        <v>3746</v>
      </c>
      <c r="U904" t="s">
        <v>3747</v>
      </c>
      <c r="V904" t="s">
        <v>3746</v>
      </c>
      <c r="W904" t="s">
        <v>4640</v>
      </c>
      <c r="X904">
        <v>27</v>
      </c>
      <c r="Y904" t="s">
        <v>6443</v>
      </c>
      <c r="Z904" t="s">
        <v>8292</v>
      </c>
      <c r="AB904" t="str">
        <f>HYPERLINK("Melting_Curves/meltCurve_P07900_HSP90AA1.pdf", "Melting_Curves/meltCurve_P07900_HSP90AA1.pdf")</f>
        <v>Melting_Curves/meltCurve_P07900_HSP90AA1.pdf</v>
      </c>
    </row>
    <row r="905" spans="1:28" x14ac:dyDescent="0.25">
      <c r="A905" t="s">
        <v>909</v>
      </c>
      <c r="B905">
        <v>1</v>
      </c>
      <c r="C905">
        <v>1.07520512820513</v>
      </c>
      <c r="D905">
        <v>1.8821794871794899</v>
      </c>
      <c r="E905">
        <v>2.5125384615384601</v>
      </c>
      <c r="F905">
        <v>1.8831025641025601</v>
      </c>
      <c r="G905">
        <v>1.6451282051282099</v>
      </c>
      <c r="H905">
        <v>1.83397435897436</v>
      </c>
      <c r="I905">
        <v>2.5198717948717899</v>
      </c>
      <c r="J905">
        <v>2.81102564102564</v>
      </c>
      <c r="K905">
        <v>2.5646153846153799</v>
      </c>
      <c r="L905">
        <v>10799.276047625501</v>
      </c>
      <c r="M905">
        <v>250</v>
      </c>
      <c r="O905">
        <v>43.194339885004702</v>
      </c>
      <c r="P905">
        <v>0.72347442132956796</v>
      </c>
      <c r="Q905">
        <v>1.5</v>
      </c>
      <c r="R905">
        <v>-0.51000857796777999</v>
      </c>
      <c r="S905" t="s">
        <v>2779</v>
      </c>
      <c r="T905" t="s">
        <v>3746</v>
      </c>
      <c r="U905" t="s">
        <v>3746</v>
      </c>
      <c r="V905" t="s">
        <v>3746</v>
      </c>
      <c r="W905" t="s">
        <v>4641</v>
      </c>
      <c r="X905">
        <v>3</v>
      </c>
      <c r="Y905" t="s">
        <v>6444</v>
      </c>
      <c r="Z905" t="s">
        <v>8293</v>
      </c>
      <c r="AA905">
        <v>1.446677025030376</v>
      </c>
      <c r="AB905" t="str">
        <f>HYPERLINK("Melting_Curves/meltCurve_P07902_GALT.pdf", "Melting_Curves/meltCurve_P07902_GALT.pdf")</f>
        <v>Melting_Curves/meltCurve_P07902_GALT.pdf</v>
      </c>
    </row>
    <row r="906" spans="1:28" x14ac:dyDescent="0.25">
      <c r="A906" t="s">
        <v>910</v>
      </c>
      <c r="B906">
        <v>1</v>
      </c>
      <c r="C906">
        <v>0.73731498557715003</v>
      </c>
      <c r="D906">
        <v>1.3972667517851201</v>
      </c>
      <c r="E906">
        <v>1.44242682177141</v>
      </c>
      <c r="F906">
        <v>0.812597531564761</v>
      </c>
      <c r="G906">
        <v>0.84394949638246597</v>
      </c>
      <c r="H906">
        <v>0.82661843287463899</v>
      </c>
      <c r="I906">
        <v>1.2658769565423</v>
      </c>
      <c r="J906">
        <v>0.98004445074951496</v>
      </c>
      <c r="K906">
        <v>0.68082943207074298</v>
      </c>
      <c r="L906">
        <v>15000</v>
      </c>
      <c r="M906">
        <v>221.17140402407301</v>
      </c>
      <c r="O906">
        <v>67.815159244073598</v>
      </c>
      <c r="P906">
        <v>-0.26050067300905699</v>
      </c>
      <c r="Q906">
        <v>0.68050310657434698</v>
      </c>
      <c r="R906">
        <v>0.14926234468775099</v>
      </c>
      <c r="S906" t="s">
        <v>2780</v>
      </c>
      <c r="T906" t="s">
        <v>3746</v>
      </c>
      <c r="U906" t="s">
        <v>3746</v>
      </c>
      <c r="V906" t="s">
        <v>3746</v>
      </c>
      <c r="W906" t="s">
        <v>4642</v>
      </c>
      <c r="X906">
        <v>1</v>
      </c>
      <c r="Y906" t="s">
        <v>6445</v>
      </c>
      <c r="Z906" t="s">
        <v>8294</v>
      </c>
      <c r="AA906">
        <v>0.97683570962287503</v>
      </c>
      <c r="AB906" t="str">
        <f>HYPERLINK("Melting_Curves/meltCurve_P07948_2_LYN.pdf", "Melting_Curves/meltCurve_P07948_2_LYN.pdf")</f>
        <v>Melting_Curves/meltCurve_P07948_2_LYN.pdf</v>
      </c>
    </row>
    <row r="907" spans="1:28" x14ac:dyDescent="0.25">
      <c r="A907" t="s">
        <v>911</v>
      </c>
      <c r="B907">
        <v>1</v>
      </c>
      <c r="C907">
        <v>0.97633701188455002</v>
      </c>
      <c r="D907">
        <v>1.4318053197509899</v>
      </c>
      <c r="E907">
        <v>1.72753961516695</v>
      </c>
      <c r="F907">
        <v>1.4563172043010799</v>
      </c>
      <c r="G907">
        <v>2.0547184493491799</v>
      </c>
      <c r="H907">
        <v>1.1102150537634401</v>
      </c>
      <c r="I907">
        <v>3.02440577249576</v>
      </c>
      <c r="J907">
        <v>2.7790393322014699</v>
      </c>
      <c r="K907">
        <v>2.5537280701754401</v>
      </c>
      <c r="L907">
        <v>11415.1020360277</v>
      </c>
      <c r="M907">
        <v>250</v>
      </c>
      <c r="O907">
        <v>45.657471762519698</v>
      </c>
      <c r="P907">
        <v>0.68444416462371105</v>
      </c>
      <c r="Q907">
        <v>1.5</v>
      </c>
      <c r="R907">
        <v>-8.5843307108942196E-2</v>
      </c>
      <c r="S907" t="s">
        <v>2781</v>
      </c>
      <c r="T907" t="s">
        <v>3746</v>
      </c>
      <c r="U907" t="s">
        <v>3746</v>
      </c>
      <c r="V907" t="s">
        <v>3746</v>
      </c>
      <c r="W907" t="s">
        <v>4643</v>
      </c>
      <c r="X907">
        <v>2</v>
      </c>
      <c r="Y907" t="s">
        <v>6446</v>
      </c>
      <c r="Z907" t="s">
        <v>8295</v>
      </c>
      <c r="AA907">
        <v>1.4056197976119911</v>
      </c>
      <c r="AB907" t="str">
        <f>HYPERLINK("Melting_Curves/meltCurve_P07954_2_FH.pdf", "Melting_Curves/meltCurve_P07954_2_FH.pdf")</f>
        <v>Melting_Curves/meltCurve_P07954_2_FH.pdf</v>
      </c>
    </row>
    <row r="908" spans="1:28" x14ac:dyDescent="0.25">
      <c r="A908" t="s">
        <v>912</v>
      </c>
      <c r="B908">
        <v>1</v>
      </c>
      <c r="C908">
        <v>0.99725673713087004</v>
      </c>
      <c r="D908">
        <v>1.2548007100209799</v>
      </c>
      <c r="E908">
        <v>1.32636759722446</v>
      </c>
      <c r="F908">
        <v>0.89777311602388299</v>
      </c>
      <c r="G908">
        <v>1.2408423430692299</v>
      </c>
      <c r="H908">
        <v>0.64392447958689703</v>
      </c>
      <c r="I908">
        <v>0.90616427303533997</v>
      </c>
      <c r="J908">
        <v>0.90600290463127298</v>
      </c>
      <c r="K908">
        <v>0.88478295949653096</v>
      </c>
      <c r="L908">
        <v>2980.30236130905</v>
      </c>
      <c r="M908">
        <v>50.444137070921897</v>
      </c>
      <c r="O908">
        <v>58.988613712481097</v>
      </c>
      <c r="P908">
        <v>-3.2337818302284001E-2</v>
      </c>
      <c r="Q908">
        <v>0.84873869463002205</v>
      </c>
      <c r="R908">
        <v>0.217580853142955</v>
      </c>
      <c r="S908" t="s">
        <v>2782</v>
      </c>
      <c r="T908" t="s">
        <v>3746</v>
      </c>
      <c r="U908" t="s">
        <v>3746</v>
      </c>
      <c r="V908" t="s">
        <v>3746</v>
      </c>
      <c r="W908" t="s">
        <v>4644</v>
      </c>
      <c r="X908">
        <v>4</v>
      </c>
      <c r="Y908" t="s">
        <v>6447</v>
      </c>
      <c r="Z908" t="s">
        <v>8296</v>
      </c>
      <c r="AA908">
        <v>0.94533107697999819</v>
      </c>
      <c r="AB908" t="str">
        <f>HYPERLINK("Melting_Curves/meltCurve_P07998_RNASE1.pdf", "Melting_Curves/meltCurve_P07998_RNASE1.pdf")</f>
        <v>Melting_Curves/meltCurve_P07998_RNASE1.pdf</v>
      </c>
    </row>
    <row r="909" spans="1:28" x14ac:dyDescent="0.25">
      <c r="A909" t="s">
        <v>913</v>
      </c>
      <c r="B909">
        <v>1</v>
      </c>
      <c r="C909">
        <v>0.98172247844395399</v>
      </c>
      <c r="D909">
        <v>1.4490675756968101</v>
      </c>
      <c r="E909">
        <v>1.8639462602767201</v>
      </c>
      <c r="F909">
        <v>1.35893322638861</v>
      </c>
      <c r="G909">
        <v>1.70513334670142</v>
      </c>
      <c r="H909">
        <v>1.1464808502105499</v>
      </c>
      <c r="I909">
        <v>1.8198315620613601</v>
      </c>
      <c r="J909">
        <v>1.93392821335472</v>
      </c>
      <c r="K909">
        <v>1.8528173250451201</v>
      </c>
      <c r="L909">
        <v>11399.8730429034</v>
      </c>
      <c r="M909">
        <v>250</v>
      </c>
      <c r="O909">
        <v>45.596584187259602</v>
      </c>
      <c r="P909">
        <v>0.68535850828975098</v>
      </c>
      <c r="Q909">
        <v>1.5</v>
      </c>
      <c r="R909">
        <v>0.41422739391861502</v>
      </c>
      <c r="S909" t="s">
        <v>2783</v>
      </c>
      <c r="T909" t="s">
        <v>3746</v>
      </c>
      <c r="U909" t="s">
        <v>3746</v>
      </c>
      <c r="V909" t="s">
        <v>3746</v>
      </c>
      <c r="W909" t="s">
        <v>4645</v>
      </c>
      <c r="X909">
        <v>11</v>
      </c>
      <c r="Y909" t="s">
        <v>6448</v>
      </c>
      <c r="Z909" t="s">
        <v>8297</v>
      </c>
      <c r="AA909">
        <v>1.406635117273568</v>
      </c>
      <c r="AB909" t="str">
        <f>HYPERLINK("Melting_Curves/meltCurve_P08107_HSPA1A.pdf", "Melting_Curves/meltCurve_P08107_HSPA1A.pdf")</f>
        <v>Melting_Curves/meltCurve_P08107_HSPA1A.pdf</v>
      </c>
    </row>
    <row r="910" spans="1:28" x14ac:dyDescent="0.25">
      <c r="A910" t="s">
        <v>914</v>
      </c>
      <c r="B910">
        <v>1</v>
      </c>
      <c r="C910">
        <v>1.08191684851269</v>
      </c>
      <c r="D910">
        <v>1.5071207074767401</v>
      </c>
      <c r="E910">
        <v>1.77759274147238</v>
      </c>
      <c r="F910">
        <v>1.5885207304467699</v>
      </c>
      <c r="G910">
        <v>1.59325829792121</v>
      </c>
      <c r="H910">
        <v>0.86607040312392303</v>
      </c>
      <c r="I910">
        <v>1.4320230848742399</v>
      </c>
      <c r="J910">
        <v>1.3314718042953899</v>
      </c>
      <c r="K910">
        <v>1.24533421385092</v>
      </c>
      <c r="L910">
        <v>10785.5182582281</v>
      </c>
      <c r="M910">
        <v>250</v>
      </c>
      <c r="O910">
        <v>43.1393361797276</v>
      </c>
      <c r="P910">
        <v>0.605123812693111</v>
      </c>
      <c r="Q910">
        <v>1.4176740029836601</v>
      </c>
      <c r="R910">
        <v>0.29940684988239302</v>
      </c>
      <c r="S910" t="s">
        <v>2784</v>
      </c>
      <c r="T910" t="s">
        <v>3746</v>
      </c>
      <c r="U910" t="s">
        <v>3746</v>
      </c>
      <c r="V910" t="s">
        <v>3746</v>
      </c>
      <c r="W910" t="s">
        <v>4646</v>
      </c>
      <c r="X910">
        <v>3</v>
      </c>
      <c r="Y910" t="s">
        <v>6449</v>
      </c>
      <c r="Z910" t="s">
        <v>8298</v>
      </c>
      <c r="AA910">
        <v>1.373896971969788</v>
      </c>
      <c r="AB910" t="str">
        <f>HYPERLINK("Melting_Curves/meltCurve_P08123_COL1A2.pdf", "Melting_Curves/meltCurve_P08123_COL1A2.pdf")</f>
        <v>Melting_Curves/meltCurve_P08123_COL1A2.pdf</v>
      </c>
    </row>
    <row r="911" spans="1:28" x14ac:dyDescent="0.25">
      <c r="A911" t="s">
        <v>915</v>
      </c>
      <c r="B911">
        <v>1</v>
      </c>
      <c r="C911">
        <v>0.99680141554375901</v>
      </c>
      <c r="D911">
        <v>1.45195317816796</v>
      </c>
      <c r="E911">
        <v>1.82278481012658</v>
      </c>
      <c r="F911">
        <v>1.26337280522662</v>
      </c>
      <c r="G911">
        <v>1.50122498979175</v>
      </c>
      <c r="H911">
        <v>0.80223220362052505</v>
      </c>
      <c r="I911">
        <v>1.29345311011297</v>
      </c>
      <c r="J911">
        <v>1.3091738124404499</v>
      </c>
      <c r="K911">
        <v>1.1510820743160499</v>
      </c>
      <c r="L911">
        <v>11020.8042901482</v>
      </c>
      <c r="M911">
        <v>250</v>
      </c>
      <c r="O911">
        <v>44.080396645424202</v>
      </c>
      <c r="P911">
        <v>0.45996983581076201</v>
      </c>
      <c r="Q911">
        <v>1.3244104407252499</v>
      </c>
      <c r="R911">
        <v>0.21980707227805901</v>
      </c>
      <c r="S911" t="s">
        <v>2785</v>
      </c>
      <c r="T911" t="s">
        <v>3746</v>
      </c>
      <c r="U911" t="s">
        <v>3746</v>
      </c>
      <c r="V911" t="s">
        <v>3746</v>
      </c>
      <c r="W911" t="s">
        <v>4647</v>
      </c>
      <c r="X911">
        <v>7</v>
      </c>
      <c r="Y911" t="s">
        <v>6450</v>
      </c>
      <c r="Z911" t="s">
        <v>8299</v>
      </c>
      <c r="AA911">
        <v>1.2802307333065259</v>
      </c>
      <c r="AB911" t="str">
        <f>HYPERLINK("Melting_Curves/meltCurve_P08185_SERPINA6.pdf", "Melting_Curves/meltCurve_P08185_SERPINA6.pdf")</f>
        <v>Melting_Curves/meltCurve_P08185_SERPINA6.pdf</v>
      </c>
    </row>
    <row r="912" spans="1:28" x14ac:dyDescent="0.25">
      <c r="A912" t="s">
        <v>916</v>
      </c>
      <c r="B912">
        <v>1</v>
      </c>
      <c r="C912">
        <v>1.10947430947431</v>
      </c>
      <c r="D912">
        <v>2.2989604989605001</v>
      </c>
      <c r="E912">
        <v>4.07472527472527</v>
      </c>
      <c r="F912">
        <v>2.98621918621919</v>
      </c>
      <c r="G912">
        <v>3.3723789723789701</v>
      </c>
      <c r="H912">
        <v>2.6210276210276202</v>
      </c>
      <c r="I912">
        <v>3.6376002376002399</v>
      </c>
      <c r="J912">
        <v>3.9204633204633201</v>
      </c>
      <c r="K912">
        <v>3.5243837243837199</v>
      </c>
      <c r="L912">
        <v>10779.560040176801</v>
      </c>
      <c r="M912">
        <v>250</v>
      </c>
      <c r="O912">
        <v>43.115480891969199</v>
      </c>
      <c r="P912">
        <v>0.72479766894141495</v>
      </c>
      <c r="Q912">
        <v>1.5</v>
      </c>
      <c r="R912">
        <v>-1.6584581912523999</v>
      </c>
      <c r="S912" t="s">
        <v>2786</v>
      </c>
      <c r="T912" t="s">
        <v>3746</v>
      </c>
      <c r="U912" t="s">
        <v>3746</v>
      </c>
      <c r="V912" t="s">
        <v>3746</v>
      </c>
      <c r="W912" t="s">
        <v>4648</v>
      </c>
      <c r="X912">
        <v>25</v>
      </c>
      <c r="Y912" t="s">
        <v>6451</v>
      </c>
      <c r="Z912" t="s">
        <v>8300</v>
      </c>
      <c r="AA912">
        <v>1.447991494726236</v>
      </c>
      <c r="AB912" t="str">
        <f>HYPERLINK("Melting_Curves/meltCurve_P08238_HSP90AB1.pdf", "Melting_Curves/meltCurve_P08238_HSP90AB1.pdf")</f>
        <v>Melting_Curves/meltCurve_P08238_HSP90AB1.pdf</v>
      </c>
    </row>
    <row r="913" spans="1:28" x14ac:dyDescent="0.25">
      <c r="A913" t="s">
        <v>917</v>
      </c>
      <c r="B913">
        <v>1</v>
      </c>
      <c r="C913">
        <v>1.0137844611528799</v>
      </c>
      <c r="D913">
        <v>1.4684031507339801</v>
      </c>
      <c r="E913">
        <v>2.1413578589330502</v>
      </c>
      <c r="F913">
        <v>1.8954976727533099</v>
      </c>
      <c r="G913">
        <v>2.3753580379520201</v>
      </c>
      <c r="H913">
        <v>1.5949471894020799</v>
      </c>
      <c r="I913">
        <v>2.4335392051557498</v>
      </c>
      <c r="J913">
        <v>2.7309344790547798</v>
      </c>
      <c r="K913">
        <v>2.3903508771929798</v>
      </c>
      <c r="L913">
        <v>4091.6363970513698</v>
      </c>
      <c r="M913">
        <v>91.688058372311602</v>
      </c>
      <c r="O913">
        <v>44.604425956484299</v>
      </c>
      <c r="P913">
        <v>0.25694791133424699</v>
      </c>
      <c r="Q913">
        <v>1.5</v>
      </c>
      <c r="R913">
        <v>-0.34026680949511801</v>
      </c>
      <c r="S913" t="s">
        <v>2787</v>
      </c>
      <c r="T913" t="s">
        <v>3746</v>
      </c>
      <c r="U913" t="s">
        <v>3746</v>
      </c>
      <c r="V913" t="s">
        <v>3746</v>
      </c>
      <c r="W913" t="s">
        <v>4649</v>
      </c>
      <c r="X913">
        <v>4</v>
      </c>
      <c r="Y913" t="s">
        <v>6452</v>
      </c>
      <c r="Z913" t="s">
        <v>8301</v>
      </c>
      <c r="AA913">
        <v>1.4226146419001759</v>
      </c>
      <c r="AB913" t="str">
        <f>HYPERLINK("Melting_Curves/meltCurve_P08253_2_MMP2.pdf", "Melting_Curves/meltCurve_P08253_2_MMP2.pdf")</f>
        <v>Melting_Curves/meltCurve_P08253_2_MMP2.pdf</v>
      </c>
    </row>
    <row r="914" spans="1:28" x14ac:dyDescent="0.25">
      <c r="A914" t="s">
        <v>918</v>
      </c>
      <c r="B914">
        <v>1</v>
      </c>
      <c r="C914">
        <v>1.0319657689403501</v>
      </c>
      <c r="D914">
        <v>1.2184747042537101</v>
      </c>
      <c r="E914">
        <v>1.5454316637301799</v>
      </c>
      <c r="F914">
        <v>1.0509270911989299</v>
      </c>
      <c r="G914">
        <v>1.02458259921134</v>
      </c>
      <c r="H914">
        <v>0.68973068210420296</v>
      </c>
      <c r="I914">
        <v>1.0508431915429099</v>
      </c>
      <c r="J914">
        <v>1.00813826663311</v>
      </c>
      <c r="K914">
        <v>0.948737310177028</v>
      </c>
      <c r="L914">
        <v>5700.2169829313598</v>
      </c>
      <c r="M914">
        <v>97.790246265195506</v>
      </c>
      <c r="O914">
        <v>58.265886480603697</v>
      </c>
      <c r="P914">
        <v>-3.0585199225421002E-2</v>
      </c>
      <c r="Q914">
        <v>0.92710629597818195</v>
      </c>
      <c r="R914">
        <v>-2.47218441189225E-2</v>
      </c>
      <c r="S914" t="s">
        <v>2788</v>
      </c>
      <c r="T914" t="s">
        <v>3746</v>
      </c>
      <c r="U914" t="s">
        <v>3746</v>
      </c>
      <c r="V914" t="s">
        <v>3746</v>
      </c>
      <c r="W914" t="s">
        <v>4650</v>
      </c>
      <c r="X914">
        <v>4</v>
      </c>
      <c r="Y914" t="s">
        <v>6453</v>
      </c>
      <c r="Z914" t="s">
        <v>8302</v>
      </c>
      <c r="AA914">
        <v>0.97159653761778009</v>
      </c>
      <c r="AB914" t="str">
        <f>HYPERLINK("Melting_Curves/meltCurve_P08294_SOD3.pdf", "Melting_Curves/meltCurve_P08294_SOD3.pdf")</f>
        <v>Melting_Curves/meltCurve_P08294_SOD3.pdf</v>
      </c>
    </row>
    <row r="915" spans="1:28" x14ac:dyDescent="0.25">
      <c r="A915" t="s">
        <v>919</v>
      </c>
      <c r="B915">
        <v>1</v>
      </c>
      <c r="C915">
        <v>0.98134451019066404</v>
      </c>
      <c r="D915">
        <v>1.22189349112426</v>
      </c>
      <c r="E915">
        <v>1.4843852728468101</v>
      </c>
      <c r="F915">
        <v>0.82147435897435905</v>
      </c>
      <c r="G915">
        <v>1.2982412886259</v>
      </c>
      <c r="H915">
        <v>0.54368836291913203</v>
      </c>
      <c r="I915">
        <v>0.81319033530572005</v>
      </c>
      <c r="J915">
        <v>0.93778763971071699</v>
      </c>
      <c r="K915">
        <v>1.05933596318212</v>
      </c>
      <c r="L915">
        <v>1955.83269417717</v>
      </c>
      <c r="M915">
        <v>33.29085542784</v>
      </c>
      <c r="O915">
        <v>58.539073654116699</v>
      </c>
      <c r="P915">
        <v>-1.8401165129866601E-2</v>
      </c>
      <c r="Q915">
        <v>0.87057316046355104</v>
      </c>
      <c r="R915">
        <v>8.6298049065580501E-2</v>
      </c>
      <c r="S915" t="s">
        <v>2789</v>
      </c>
      <c r="T915" t="s">
        <v>3746</v>
      </c>
      <c r="U915" t="s">
        <v>3746</v>
      </c>
      <c r="V915" t="s">
        <v>3746</v>
      </c>
      <c r="W915" t="s">
        <v>4651</v>
      </c>
      <c r="X915">
        <v>1</v>
      </c>
      <c r="Y915" t="s">
        <v>6454</v>
      </c>
      <c r="Z915" t="s">
        <v>8303</v>
      </c>
      <c r="AA915">
        <v>0.95217101037982388</v>
      </c>
      <c r="AB915" t="str">
        <f>HYPERLINK("Melting_Curves/meltCurve_P08311_CTSG.pdf", "Melting_Curves/meltCurve_P08311_CTSG.pdf")</f>
        <v>Melting_Curves/meltCurve_P08311_CTSG.pdf</v>
      </c>
    </row>
    <row r="916" spans="1:28" x14ac:dyDescent="0.25">
      <c r="A916" t="s">
        <v>920</v>
      </c>
      <c r="B916">
        <v>1</v>
      </c>
      <c r="C916">
        <v>1.12319160197601</v>
      </c>
      <c r="D916">
        <v>1.5269054340155299</v>
      </c>
      <c r="E916">
        <v>1.6002117148906101</v>
      </c>
      <c r="F916">
        <v>0.93983768525052902</v>
      </c>
      <c r="G916">
        <v>1.13867325335215</v>
      </c>
      <c r="H916">
        <v>0.51989237826393797</v>
      </c>
      <c r="I916">
        <v>1.1821189131968901</v>
      </c>
      <c r="J916">
        <v>1.09690366972477</v>
      </c>
      <c r="K916">
        <v>1.19371912491179</v>
      </c>
      <c r="L916">
        <v>14953.363155642</v>
      </c>
      <c r="M916">
        <v>237.91685537726701</v>
      </c>
      <c r="O916">
        <v>62.846772940193198</v>
      </c>
      <c r="P916">
        <v>0.14963005832756399</v>
      </c>
      <c r="Q916">
        <v>1.1581017245683001</v>
      </c>
      <c r="R916">
        <v>-0.123603401392645</v>
      </c>
      <c r="S916" t="s">
        <v>2790</v>
      </c>
      <c r="T916" t="s">
        <v>3746</v>
      </c>
      <c r="U916" t="s">
        <v>3746</v>
      </c>
      <c r="V916" t="s">
        <v>3746</v>
      </c>
      <c r="W916" t="s">
        <v>4652</v>
      </c>
      <c r="X916">
        <v>1</v>
      </c>
      <c r="Y916" t="s">
        <v>6455</v>
      </c>
      <c r="Z916" t="s">
        <v>8304</v>
      </c>
      <c r="AA916">
        <v>1.0376552580969709</v>
      </c>
      <c r="AB916" t="str">
        <f>HYPERLINK("Melting_Curves/meltCurve_P08493_MGP.pdf", "Melting_Curves/meltCurve_P08493_MGP.pdf")</f>
        <v>Melting_Curves/meltCurve_P08493_MGP.pdf</v>
      </c>
    </row>
    <row r="917" spans="1:28" x14ac:dyDescent="0.25">
      <c r="A917" t="s">
        <v>921</v>
      </c>
      <c r="B917">
        <v>1</v>
      </c>
      <c r="C917">
        <v>1.00325127728751</v>
      </c>
      <c r="D917">
        <v>1.57114104350519</v>
      </c>
      <c r="E917">
        <v>2.0832946276513402</v>
      </c>
      <c r="F917">
        <v>1.8149868400681199</v>
      </c>
      <c r="G917">
        <v>2.3679362130360699</v>
      </c>
      <c r="H917">
        <v>1.38349589719771</v>
      </c>
      <c r="I917">
        <v>2.1219228982814702</v>
      </c>
      <c r="J917">
        <v>2.0770243071682901</v>
      </c>
      <c r="K917">
        <v>1.9092738814057899</v>
      </c>
      <c r="L917">
        <v>10940.0570734536</v>
      </c>
      <c r="M917">
        <v>250</v>
      </c>
      <c r="O917">
        <v>43.757428409635097</v>
      </c>
      <c r="P917">
        <v>0.71416446339009099</v>
      </c>
      <c r="Q917">
        <v>1.5</v>
      </c>
      <c r="R917">
        <v>-2.30161202666124E-2</v>
      </c>
      <c r="S917" t="s">
        <v>2791</v>
      </c>
      <c r="T917" t="s">
        <v>3746</v>
      </c>
      <c r="U917" t="s">
        <v>3746</v>
      </c>
      <c r="V917" t="s">
        <v>3746</v>
      </c>
      <c r="W917" t="s">
        <v>4653</v>
      </c>
      <c r="X917">
        <v>16</v>
      </c>
      <c r="Y917" t="s">
        <v>6456</v>
      </c>
      <c r="Z917" t="s">
        <v>8305</v>
      </c>
      <c r="AA917">
        <v>1.437291129173061</v>
      </c>
      <c r="AB917" t="str">
        <f>HYPERLINK("Melting_Curves/meltCurve_P08571_CD14.pdf", "Melting_Curves/meltCurve_P08571_CD14.pdf")</f>
        <v>Melting_Curves/meltCurve_P08571_CD14.pdf</v>
      </c>
    </row>
    <row r="918" spans="1:28" x14ac:dyDescent="0.25">
      <c r="A918" t="s">
        <v>922</v>
      </c>
      <c r="B918">
        <v>1</v>
      </c>
      <c r="C918">
        <v>1.2919418188096199</v>
      </c>
      <c r="D918">
        <v>1.72514998489361</v>
      </c>
      <c r="E918">
        <v>2.10621951745867</v>
      </c>
      <c r="F918">
        <v>1.6623937157408599</v>
      </c>
      <c r="G918">
        <v>1.65587638655099</v>
      </c>
      <c r="H918">
        <v>1.1247787992576299</v>
      </c>
      <c r="I918">
        <v>1.87994734343304</v>
      </c>
      <c r="J918">
        <v>1.6417627001596999</v>
      </c>
      <c r="K918">
        <v>1.60643532306099</v>
      </c>
      <c r="L918">
        <v>10710.4681816963</v>
      </c>
      <c r="M918">
        <v>250</v>
      </c>
      <c r="O918">
        <v>42.839128913713402</v>
      </c>
      <c r="P918">
        <v>0.729473245843411</v>
      </c>
      <c r="Q918">
        <v>1.5</v>
      </c>
      <c r="R918">
        <v>0.23780277644244199</v>
      </c>
      <c r="S918" t="s">
        <v>2792</v>
      </c>
      <c r="T918" t="s">
        <v>3746</v>
      </c>
      <c r="U918" t="s">
        <v>3746</v>
      </c>
      <c r="V918" t="s">
        <v>3746</v>
      </c>
      <c r="W918" t="s">
        <v>4654</v>
      </c>
      <c r="X918">
        <v>3</v>
      </c>
      <c r="Y918" t="s">
        <v>6457</v>
      </c>
      <c r="Z918" t="s">
        <v>8306</v>
      </c>
      <c r="AA918">
        <v>1.452597861095879</v>
      </c>
      <c r="AB918" t="str">
        <f>HYPERLINK("Melting_Curves/meltCurve_P08572_COL4A2.pdf", "Melting_Curves/meltCurve_P08572_COL4A2.pdf")</f>
        <v>Melting_Curves/meltCurve_P08572_COL4A2.pdf</v>
      </c>
    </row>
    <row r="919" spans="1:28" x14ac:dyDescent="0.25">
      <c r="A919" t="s">
        <v>923</v>
      </c>
      <c r="B919">
        <v>1</v>
      </c>
      <c r="C919">
        <v>1.0177483443708599</v>
      </c>
      <c r="D919">
        <v>2.26946284032377</v>
      </c>
      <c r="E919">
        <v>3.1336276674025001</v>
      </c>
      <c r="F919">
        <v>2.3730684326710798</v>
      </c>
      <c r="G919">
        <v>2.8145695364238401</v>
      </c>
      <c r="H919">
        <v>1.4444738778513599</v>
      </c>
      <c r="I919">
        <v>2.17763061074319</v>
      </c>
      <c r="J919">
        <v>2.2604856512141298</v>
      </c>
      <c r="K919">
        <v>2.0111846946284002</v>
      </c>
      <c r="L919">
        <v>10866.6089322723</v>
      </c>
      <c r="M919">
        <v>250</v>
      </c>
      <c r="O919">
        <v>43.463661296275603</v>
      </c>
      <c r="P919">
        <v>0.71899154876660798</v>
      </c>
      <c r="Q919">
        <v>1.5</v>
      </c>
      <c r="R919">
        <v>-0.56451249542257598</v>
      </c>
      <c r="S919" t="s">
        <v>2793</v>
      </c>
      <c r="T919" t="s">
        <v>3746</v>
      </c>
      <c r="U919" t="s">
        <v>3746</v>
      </c>
      <c r="V919" t="s">
        <v>3746</v>
      </c>
      <c r="W919" t="s">
        <v>4655</v>
      </c>
      <c r="X919">
        <v>2</v>
      </c>
      <c r="Y919" t="s">
        <v>6458</v>
      </c>
      <c r="Z919" t="s">
        <v>8307</v>
      </c>
      <c r="AA919">
        <v>1.4421879297217799</v>
      </c>
      <c r="AB919" t="str">
        <f>HYPERLINK("Melting_Curves/meltCurve_P08582_2_MFI2.pdf", "Melting_Curves/meltCurve_P08582_2_MFI2.pdf")</f>
        <v>Melting_Curves/meltCurve_P08582_2_MFI2.pdf</v>
      </c>
    </row>
    <row r="920" spans="1:28" x14ac:dyDescent="0.25">
      <c r="A920" t="s">
        <v>924</v>
      </c>
      <c r="B920">
        <v>1</v>
      </c>
      <c r="C920">
        <v>0.978174578941583</v>
      </c>
      <c r="D920">
        <v>1.39807271883435</v>
      </c>
      <c r="E920">
        <v>1.5765111081256</v>
      </c>
      <c r="F920">
        <v>1.13770655983976</v>
      </c>
      <c r="G920">
        <v>1.2241533031254199</v>
      </c>
      <c r="H920">
        <v>0.72881273129206003</v>
      </c>
      <c r="I920">
        <v>1.1341158078581299</v>
      </c>
      <c r="J920">
        <v>1.1703408771694099</v>
      </c>
      <c r="K920">
        <v>1.0581970516750701</v>
      </c>
      <c r="L920">
        <v>11049.344229038899</v>
      </c>
      <c r="M920">
        <v>250</v>
      </c>
      <c r="O920">
        <v>44.194540800221397</v>
      </c>
      <c r="P920">
        <v>0.25241667290129999</v>
      </c>
      <c r="Q920">
        <v>1.1784870544730099</v>
      </c>
      <c r="R920">
        <v>0.117414895348135</v>
      </c>
      <c r="S920" t="s">
        <v>2794</v>
      </c>
      <c r="T920" t="s">
        <v>3746</v>
      </c>
      <c r="U920" t="s">
        <v>3746</v>
      </c>
      <c r="V920" t="s">
        <v>3746</v>
      </c>
      <c r="W920" t="s">
        <v>4656</v>
      </c>
      <c r="X920">
        <v>39</v>
      </c>
      <c r="Y920" t="s">
        <v>6459</v>
      </c>
      <c r="Z920" t="s">
        <v>8308</v>
      </c>
      <c r="AA920">
        <v>1.1535006285888909</v>
      </c>
      <c r="AB920" t="str">
        <f>HYPERLINK("Melting_Curves/meltCurve_P08603_CFH.pdf", "Melting_Curves/meltCurve_P08603_CFH.pdf")</f>
        <v>Melting_Curves/meltCurve_P08603_CFH.pdf</v>
      </c>
    </row>
    <row r="921" spans="1:28" x14ac:dyDescent="0.25">
      <c r="A921" t="s">
        <v>925</v>
      </c>
      <c r="B921">
        <v>1</v>
      </c>
      <c r="C921">
        <v>1.0343968686988501</v>
      </c>
      <c r="D921">
        <v>1.4370922784960301</v>
      </c>
      <c r="E921">
        <v>1.88219072470644</v>
      </c>
      <c r="F921">
        <v>0.98234195231882304</v>
      </c>
      <c r="G921">
        <v>1.4296346815324401</v>
      </c>
      <c r="H921">
        <v>0.84044004269956096</v>
      </c>
      <c r="I921">
        <v>1.2943452733958001</v>
      </c>
      <c r="J921">
        <v>1.2412673466967099</v>
      </c>
      <c r="K921">
        <v>1.1840825524848799</v>
      </c>
      <c r="L921">
        <v>10810.4378834256</v>
      </c>
      <c r="M921">
        <v>250</v>
      </c>
      <c r="O921">
        <v>43.238984386934099</v>
      </c>
      <c r="P921">
        <v>0.41401347677857098</v>
      </c>
      <c r="Q921">
        <v>1.2864243555436901</v>
      </c>
      <c r="R921">
        <v>0.142384370398739</v>
      </c>
      <c r="S921" t="s">
        <v>2795</v>
      </c>
      <c r="T921" t="s">
        <v>3746</v>
      </c>
      <c r="U921" t="s">
        <v>3746</v>
      </c>
      <c r="V921" t="s">
        <v>3746</v>
      </c>
      <c r="W921" t="s">
        <v>4657</v>
      </c>
      <c r="X921">
        <v>14</v>
      </c>
      <c r="Y921" t="s">
        <v>6460</v>
      </c>
      <c r="Z921" t="s">
        <v>8309</v>
      </c>
      <c r="AA921">
        <v>1.2554520660687269</v>
      </c>
      <c r="AB921" t="str">
        <f>HYPERLINK("Melting_Curves/meltCurve_P08697_SERPINF2.pdf", "Melting_Curves/meltCurve_P08697_SERPINF2.pdf")</f>
        <v>Melting_Curves/meltCurve_P08697_SERPINF2.pdf</v>
      </c>
    </row>
    <row r="922" spans="1:28" x14ac:dyDescent="0.25">
      <c r="A922" t="s">
        <v>926</v>
      </c>
      <c r="B922">
        <v>1</v>
      </c>
      <c r="C922">
        <v>1.0007673308874701</v>
      </c>
      <c r="D922">
        <v>1.50396853943361</v>
      </c>
      <c r="E922">
        <v>2.05932426923723</v>
      </c>
      <c r="F922">
        <v>1.6788960026856601</v>
      </c>
      <c r="G922">
        <v>1.5527659880584099</v>
      </c>
      <c r="H922">
        <v>1.26909335059828</v>
      </c>
      <c r="I922">
        <v>1.69100544325348</v>
      </c>
      <c r="J922">
        <v>1.8064647627268999</v>
      </c>
      <c r="K922">
        <v>1.6973599021653101</v>
      </c>
      <c r="L922">
        <v>11000.499875031701</v>
      </c>
      <c r="M922">
        <v>250</v>
      </c>
      <c r="O922">
        <v>43.999184197508697</v>
      </c>
      <c r="P922">
        <v>0.71024045071354203</v>
      </c>
      <c r="Q922">
        <v>1.5</v>
      </c>
      <c r="R922">
        <v>0.46338559054009898</v>
      </c>
      <c r="S922" t="s">
        <v>2796</v>
      </c>
      <c r="T922" t="s">
        <v>3746</v>
      </c>
      <c r="U922" t="s">
        <v>3746</v>
      </c>
      <c r="V922" t="s">
        <v>3746</v>
      </c>
      <c r="W922" t="s">
        <v>4658</v>
      </c>
      <c r="X922">
        <v>3</v>
      </c>
      <c r="Y922" t="s">
        <v>6461</v>
      </c>
      <c r="Z922" t="s">
        <v>8310</v>
      </c>
      <c r="AA922">
        <v>1.4332613969190371</v>
      </c>
      <c r="AB922" t="str">
        <f>HYPERLINK("Melting_Curves/meltCurve_P08754_GNAI3.pdf", "Melting_Curves/meltCurve_P08754_GNAI3.pdf")</f>
        <v>Melting_Curves/meltCurve_P08754_GNAI3.pdf</v>
      </c>
    </row>
    <row r="923" spans="1:28" x14ac:dyDescent="0.25">
      <c r="A923" t="s">
        <v>927</v>
      </c>
      <c r="B923">
        <v>1</v>
      </c>
      <c r="C923">
        <v>1.12284464270395</v>
      </c>
      <c r="D923">
        <v>1.6372994767092699</v>
      </c>
      <c r="E923">
        <v>1.6728146178262</v>
      </c>
      <c r="F923">
        <v>1.24989276829373</v>
      </c>
      <c r="G923">
        <v>1.41923307883675</v>
      </c>
      <c r="H923">
        <v>0.764107403277001</v>
      </c>
      <c r="I923">
        <v>1.1874410225615499</v>
      </c>
      <c r="J923">
        <v>1.23676760744617</v>
      </c>
      <c r="K923">
        <v>1.0862142918418101</v>
      </c>
      <c r="L923">
        <v>10736.0341521768</v>
      </c>
      <c r="M923">
        <v>250</v>
      </c>
      <c r="O923">
        <v>42.941388456189699</v>
      </c>
      <c r="P923">
        <v>0.41003750810288903</v>
      </c>
      <c r="Q923">
        <v>1.2817212784254299</v>
      </c>
      <c r="R923">
        <v>0.121437055670572</v>
      </c>
      <c r="S923" t="s">
        <v>2797</v>
      </c>
      <c r="T923" t="s">
        <v>3746</v>
      </c>
      <c r="U923" t="s">
        <v>3746</v>
      </c>
      <c r="V923" t="s">
        <v>3746</v>
      </c>
      <c r="W923" t="s">
        <v>4659</v>
      </c>
      <c r="X923">
        <v>3</v>
      </c>
      <c r="Y923" t="s">
        <v>6462</v>
      </c>
      <c r="Z923" t="s">
        <v>8311</v>
      </c>
      <c r="AA923">
        <v>1.254052515147829</v>
      </c>
      <c r="AB923" t="str">
        <f>HYPERLINK("Melting_Curves/meltCurve_P09237_MMP7.pdf", "Melting_Curves/meltCurve_P09237_MMP7.pdf")</f>
        <v>Melting_Curves/meltCurve_P09237_MMP7.pdf</v>
      </c>
    </row>
    <row r="924" spans="1:28" x14ac:dyDescent="0.25">
      <c r="A924" t="s">
        <v>928</v>
      </c>
      <c r="B924">
        <v>1</v>
      </c>
      <c r="C924">
        <v>1.09695144900263</v>
      </c>
      <c r="D924">
        <v>1.4579601053820099</v>
      </c>
      <c r="E924">
        <v>1.7512984569062899</v>
      </c>
      <c r="F924">
        <v>1.2834776063229201</v>
      </c>
      <c r="G924">
        <v>1.2952201731275901</v>
      </c>
      <c r="H924">
        <v>0.89303726006774597</v>
      </c>
      <c r="I924">
        <v>1.0499811817839699</v>
      </c>
      <c r="J924">
        <v>0.95295445991719996</v>
      </c>
      <c r="K924">
        <v>1.0875423409860701</v>
      </c>
      <c r="L924">
        <v>1.0000000000000001E-5</v>
      </c>
      <c r="M924">
        <v>1.0000000000000001E-5</v>
      </c>
      <c r="Q924">
        <v>1.37368277165945</v>
      </c>
      <c r="R924">
        <v>-6.7978780382560403E-9</v>
      </c>
      <c r="S924" t="s">
        <v>2798</v>
      </c>
      <c r="T924" t="s">
        <v>3746</v>
      </c>
      <c r="U924" t="s">
        <v>3746</v>
      </c>
      <c r="V924" t="s">
        <v>3746</v>
      </c>
      <c r="W924" t="s">
        <v>4660</v>
      </c>
      <c r="X924">
        <v>2</v>
      </c>
      <c r="Y924" t="s">
        <v>6463</v>
      </c>
      <c r="Z924" t="s">
        <v>8312</v>
      </c>
      <c r="AA924">
        <v>1.1868423026100889</v>
      </c>
      <c r="AB924" t="str">
        <f>HYPERLINK("Melting_Curves/meltCurve_P09341_CXCL1.pdf", "Melting_Curves/meltCurve_P09341_CXCL1.pdf")</f>
        <v>Melting_Curves/meltCurve_P09341_CXCL1.pdf</v>
      </c>
    </row>
    <row r="925" spans="1:28" x14ac:dyDescent="0.25">
      <c r="A925" t="s">
        <v>929</v>
      </c>
      <c r="B925">
        <v>1</v>
      </c>
      <c r="C925">
        <v>1.0651373487768001</v>
      </c>
      <c r="D925">
        <v>1.1414064428867401</v>
      </c>
      <c r="E925">
        <v>1.4758955312000199</v>
      </c>
      <c r="F925">
        <v>0.83902444260764097</v>
      </c>
      <c r="G925">
        <v>0.887233380207607</v>
      </c>
      <c r="H925">
        <v>0.54922335412261003</v>
      </c>
      <c r="I925">
        <v>0.84785899073606896</v>
      </c>
      <c r="J925">
        <v>0.81195186620436499</v>
      </c>
      <c r="K925">
        <v>0.85107936064922696</v>
      </c>
      <c r="L925">
        <v>13187.5616458775</v>
      </c>
      <c r="M925">
        <v>250</v>
      </c>
      <c r="O925">
        <v>52.746870930472802</v>
      </c>
      <c r="P925">
        <v>-0.249459069773554</v>
      </c>
      <c r="Q925">
        <v>0.78946903460559403</v>
      </c>
      <c r="R925">
        <v>0.40239745702322799</v>
      </c>
      <c r="S925" t="s">
        <v>2799</v>
      </c>
      <c r="T925" t="s">
        <v>3746</v>
      </c>
      <c r="U925" t="s">
        <v>3746</v>
      </c>
      <c r="V925" t="s">
        <v>3746</v>
      </c>
      <c r="W925" t="s">
        <v>4661</v>
      </c>
      <c r="X925">
        <v>2</v>
      </c>
      <c r="Y925" t="s">
        <v>6464</v>
      </c>
      <c r="Z925" t="s">
        <v>8313</v>
      </c>
      <c r="AA925">
        <v>0.87896591543258462</v>
      </c>
      <c r="AB925" t="str">
        <f>HYPERLINK("Melting_Curves/meltCurve_P09382_LGALS1.pdf", "Melting_Curves/meltCurve_P09382_LGALS1.pdf")</f>
        <v>Melting_Curves/meltCurve_P09382_LGALS1.pdf</v>
      </c>
    </row>
    <row r="926" spans="1:28" x14ac:dyDescent="0.25">
      <c r="A926" t="s">
        <v>930</v>
      </c>
      <c r="B926">
        <v>1</v>
      </c>
      <c r="C926">
        <v>0.99742343934040001</v>
      </c>
      <c r="D926">
        <v>1.3646201413427601</v>
      </c>
      <c r="E926">
        <v>1.6625441696113099</v>
      </c>
      <c r="F926">
        <v>0.99366902237927002</v>
      </c>
      <c r="G926">
        <v>1.3585836277974099</v>
      </c>
      <c r="H926">
        <v>0.77988810365135497</v>
      </c>
      <c r="I926">
        <v>1.2616313309776199</v>
      </c>
      <c r="J926">
        <v>1.20266489988221</v>
      </c>
      <c r="K926">
        <v>1.12433745583039</v>
      </c>
      <c r="L926">
        <v>11013.1475775202</v>
      </c>
      <c r="M926">
        <v>250</v>
      </c>
      <c r="O926">
        <v>44.0497721673784</v>
      </c>
      <c r="P926">
        <v>0.310007466015289</v>
      </c>
      <c r="Q926">
        <v>1.2184921270986599</v>
      </c>
      <c r="R926">
        <v>0.13573347044957401</v>
      </c>
      <c r="S926" t="s">
        <v>2800</v>
      </c>
      <c r="T926" t="s">
        <v>3746</v>
      </c>
      <c r="U926" t="s">
        <v>3746</v>
      </c>
      <c r="V926" t="s">
        <v>3746</v>
      </c>
      <c r="W926" t="s">
        <v>4662</v>
      </c>
      <c r="X926">
        <v>7</v>
      </c>
      <c r="Y926" t="s">
        <v>6465</v>
      </c>
      <c r="Z926" t="s">
        <v>8314</v>
      </c>
      <c r="AA926">
        <v>1.188959932550141</v>
      </c>
      <c r="AB926" t="str">
        <f>HYPERLINK("Melting_Curves/meltCurve_P09467_FBP1.pdf", "Melting_Curves/meltCurve_P09467_FBP1.pdf")</f>
        <v>Melting_Curves/meltCurve_P09467_FBP1.pdf</v>
      </c>
    </row>
    <row r="927" spans="1:28" x14ac:dyDescent="0.25">
      <c r="A927" t="s">
        <v>931</v>
      </c>
      <c r="B927">
        <v>1</v>
      </c>
      <c r="C927">
        <v>1.0475116523831001</v>
      </c>
      <c r="D927">
        <v>1.53515762040796</v>
      </c>
      <c r="E927">
        <v>1.5443792913346399</v>
      </c>
      <c r="F927">
        <v>0.911642359544931</v>
      </c>
      <c r="G927">
        <v>1.4021951586227599</v>
      </c>
      <c r="H927">
        <v>0.92056332381095596</v>
      </c>
      <c r="I927">
        <v>1.23495213752318</v>
      </c>
      <c r="J927">
        <v>1.1104595800130299</v>
      </c>
      <c r="K927">
        <v>1.3405502931889901</v>
      </c>
      <c r="L927">
        <v>10787.189430500201</v>
      </c>
      <c r="M927">
        <v>250</v>
      </c>
      <c r="O927">
        <v>43.145998171460199</v>
      </c>
      <c r="P927">
        <v>0.36212436118610097</v>
      </c>
      <c r="Q927">
        <v>1.24998746236644</v>
      </c>
      <c r="R927">
        <v>0.15810907638550001</v>
      </c>
      <c r="S927" t="s">
        <v>2801</v>
      </c>
      <c r="T927" t="s">
        <v>3746</v>
      </c>
      <c r="U927" t="s">
        <v>3746</v>
      </c>
      <c r="V927" t="s">
        <v>3746</v>
      </c>
      <c r="W927" t="s">
        <v>4663</v>
      </c>
      <c r="X927">
        <v>9</v>
      </c>
      <c r="Y927" t="s">
        <v>5948</v>
      </c>
      <c r="Z927" t="s">
        <v>8315</v>
      </c>
      <c r="AA927">
        <v>1.223730200211818</v>
      </c>
      <c r="AB927" t="str">
        <f>HYPERLINK("Melting_Curves/meltCurve_P09493_4_TPM1.pdf", "Melting_Curves/meltCurve_P09493_4_TPM1.pdf")</f>
        <v>Melting_Curves/meltCurve_P09493_4_TPM1.pdf</v>
      </c>
    </row>
    <row r="928" spans="1:28" x14ac:dyDescent="0.25">
      <c r="A928" t="s">
        <v>932</v>
      </c>
      <c r="B928">
        <v>1</v>
      </c>
      <c r="C928">
        <v>0.95865131122519798</v>
      </c>
      <c r="D928">
        <v>1.46402802830581</v>
      </c>
      <c r="E928">
        <v>1.72963785208825</v>
      </c>
      <c r="F928">
        <v>1.1475648674899399</v>
      </c>
      <c r="G928">
        <v>1.3431386152351901</v>
      </c>
      <c r="H928">
        <v>0.97089635077008496</v>
      </c>
      <c r="I928">
        <v>1.4939642014707899</v>
      </c>
      <c r="J928">
        <v>1.4791522131261301</v>
      </c>
      <c r="K928">
        <v>1.36235604273623</v>
      </c>
      <c r="L928">
        <v>11083.996649800099</v>
      </c>
      <c r="M928">
        <v>250</v>
      </c>
      <c r="O928">
        <v>44.333150085233903</v>
      </c>
      <c r="P928">
        <v>0.52703967398407403</v>
      </c>
      <c r="Q928">
        <v>1.3738452571833999</v>
      </c>
      <c r="R928">
        <v>0.397201676950307</v>
      </c>
      <c r="S928" t="s">
        <v>2802</v>
      </c>
      <c r="T928" t="s">
        <v>3746</v>
      </c>
      <c r="U928" t="s">
        <v>3746</v>
      </c>
      <c r="V928" t="s">
        <v>3746</v>
      </c>
      <c r="W928" t="s">
        <v>4664</v>
      </c>
      <c r="X928">
        <v>5</v>
      </c>
      <c r="Y928" t="s">
        <v>6466</v>
      </c>
      <c r="Z928" t="s">
        <v>8316</v>
      </c>
      <c r="AA928">
        <v>1.3197832344929239</v>
      </c>
      <c r="AB928" t="str">
        <f>HYPERLINK("Melting_Curves/meltCurve_P09543_2_CNP.pdf", "Melting_Curves/meltCurve_P09543_2_CNP.pdf")</f>
        <v>Melting_Curves/meltCurve_P09543_2_CNP.pdf</v>
      </c>
    </row>
    <row r="929" spans="1:28" x14ac:dyDescent="0.25">
      <c r="A929" t="s">
        <v>933</v>
      </c>
      <c r="B929">
        <v>1</v>
      </c>
      <c r="C929">
        <v>0.95055755985569002</v>
      </c>
      <c r="D929">
        <v>1.24434240734667</v>
      </c>
      <c r="E929">
        <v>1.41751393899639</v>
      </c>
      <c r="F929">
        <v>0.97482781239750704</v>
      </c>
      <c r="G929">
        <v>1.1478353558543799</v>
      </c>
      <c r="H929">
        <v>0.56676779271892397</v>
      </c>
      <c r="I929">
        <v>0.98860282059691695</v>
      </c>
      <c r="J929">
        <v>0.91382420465726499</v>
      </c>
      <c r="K929">
        <v>0.86274188258445395</v>
      </c>
      <c r="L929">
        <v>2653.53505293954</v>
      </c>
      <c r="M929">
        <v>45.3287440708418</v>
      </c>
      <c r="O929">
        <v>58.4261964232956</v>
      </c>
      <c r="P929">
        <v>-2.9688341853268099E-2</v>
      </c>
      <c r="Q929">
        <v>0.84693380345527303</v>
      </c>
      <c r="R929">
        <v>0.18513656059335201</v>
      </c>
      <c r="S929" t="s">
        <v>2803</v>
      </c>
      <c r="T929" t="s">
        <v>3746</v>
      </c>
      <c r="U929" t="s">
        <v>3746</v>
      </c>
      <c r="V929" t="s">
        <v>3746</v>
      </c>
      <c r="W929" t="s">
        <v>4665</v>
      </c>
      <c r="X929">
        <v>10</v>
      </c>
      <c r="Y929" t="s">
        <v>6467</v>
      </c>
      <c r="Z929" t="s">
        <v>8317</v>
      </c>
      <c r="AA929">
        <v>0.94200316869425649</v>
      </c>
      <c r="AB929" t="str">
        <f>HYPERLINK("Melting_Curves/meltCurve_P09603_CSF1.pdf", "Melting_Curves/meltCurve_P09603_CSF1.pdf")</f>
        <v>Melting_Curves/meltCurve_P09603_CSF1.pdf</v>
      </c>
    </row>
    <row r="930" spans="1:28" x14ac:dyDescent="0.25">
      <c r="A930" t="s">
        <v>934</v>
      </c>
      <c r="B930">
        <v>1</v>
      </c>
      <c r="C930">
        <v>1.0926275992438601</v>
      </c>
      <c r="D930">
        <v>1.46719876776588</v>
      </c>
      <c r="E930">
        <v>2.0737240075614398</v>
      </c>
      <c r="F930">
        <v>1.8608835678779001</v>
      </c>
      <c r="G930">
        <v>2.1220331863054001</v>
      </c>
      <c r="H930">
        <v>0.80816355107470395</v>
      </c>
      <c r="I930">
        <v>1.8729258559126201</v>
      </c>
      <c r="J930">
        <v>1.9346775887418599</v>
      </c>
      <c r="K930">
        <v>1.6199677938808399</v>
      </c>
      <c r="L930">
        <v>2872.71656580132</v>
      </c>
      <c r="M930">
        <v>65.461939409968494</v>
      </c>
      <c r="O930">
        <v>43.842869309873201</v>
      </c>
      <c r="P930">
        <v>0.186637985765542</v>
      </c>
      <c r="Q930">
        <v>1.5</v>
      </c>
      <c r="R930">
        <v>0.17105169425596101</v>
      </c>
      <c r="S930" t="s">
        <v>2804</v>
      </c>
      <c r="T930" t="s">
        <v>3746</v>
      </c>
      <c r="U930" t="s">
        <v>3746</v>
      </c>
      <c r="V930" t="s">
        <v>3746</v>
      </c>
      <c r="W930" t="s">
        <v>4666</v>
      </c>
      <c r="X930">
        <v>2</v>
      </c>
      <c r="Y930" t="s">
        <v>6468</v>
      </c>
      <c r="Z930" t="s">
        <v>8318</v>
      </c>
      <c r="AA930">
        <v>1.434691530594534</v>
      </c>
      <c r="AB930" t="str">
        <f>HYPERLINK("Melting_Curves/meltCurve_P09668_CTSH.pdf", "Melting_Curves/meltCurve_P09668_CTSH.pdf")</f>
        <v>Melting_Curves/meltCurve_P09668_CTSH.pdf</v>
      </c>
    </row>
    <row r="931" spans="1:28" x14ac:dyDescent="0.25">
      <c r="A931" t="s">
        <v>935</v>
      </c>
      <c r="B931">
        <v>1</v>
      </c>
      <c r="C931">
        <v>1.0761436905127399</v>
      </c>
      <c r="D931">
        <v>1.28385016886706</v>
      </c>
      <c r="E931">
        <v>1.42989458601985</v>
      </c>
      <c r="F931">
        <v>0.80989663289325597</v>
      </c>
      <c r="G931">
        <v>1.0499948828165</v>
      </c>
      <c r="H931">
        <v>0.76031112475693396</v>
      </c>
      <c r="I931">
        <v>1.3220243577934701</v>
      </c>
      <c r="J931">
        <v>1.26553065192918</v>
      </c>
      <c r="K931">
        <v>1.1748029884351701</v>
      </c>
      <c r="L931">
        <v>60.954722031561097</v>
      </c>
      <c r="M931">
        <v>1.0000000000000001E-5</v>
      </c>
      <c r="Q931">
        <v>1.4806906798705599</v>
      </c>
      <c r="R931">
        <v>7.20865996666598E-3</v>
      </c>
      <c r="S931" t="s">
        <v>2805</v>
      </c>
      <c r="T931" t="s">
        <v>3746</v>
      </c>
      <c r="U931" t="s">
        <v>3746</v>
      </c>
      <c r="V931" t="s">
        <v>3746</v>
      </c>
      <c r="W931" t="s">
        <v>4667</v>
      </c>
      <c r="X931">
        <v>5</v>
      </c>
      <c r="Y931" t="s">
        <v>6469</v>
      </c>
      <c r="Z931" t="s">
        <v>8319</v>
      </c>
      <c r="AA931">
        <v>1.117516907645796</v>
      </c>
      <c r="AB931" t="str">
        <f>HYPERLINK("Melting_Curves/meltCurve_P09758_TACSTD2.pdf", "Melting_Curves/meltCurve_P09758_TACSTD2.pdf")</f>
        <v>Melting_Curves/meltCurve_P09758_TACSTD2.pdf</v>
      </c>
    </row>
    <row r="932" spans="1:28" x14ac:dyDescent="0.25">
      <c r="A932" t="s">
        <v>936</v>
      </c>
      <c r="B932">
        <v>1</v>
      </c>
      <c r="C932">
        <v>1.1582246486705099</v>
      </c>
      <c r="D932">
        <v>2.09015771913861</v>
      </c>
      <c r="E932">
        <v>3.8072490142553801</v>
      </c>
      <c r="F932">
        <v>3.0962491153573999</v>
      </c>
      <c r="G932">
        <v>3.3457183297947601</v>
      </c>
      <c r="H932">
        <v>2.43056819330705</v>
      </c>
      <c r="I932">
        <v>3.4963603275705202</v>
      </c>
      <c r="J932">
        <v>3.79713881306238</v>
      </c>
      <c r="K932">
        <v>3.3664442422404202</v>
      </c>
      <c r="S932" t="s">
        <v>2806</v>
      </c>
      <c r="T932" t="s">
        <v>3746</v>
      </c>
      <c r="U932" t="s">
        <v>3747</v>
      </c>
      <c r="V932" t="s">
        <v>3746</v>
      </c>
      <c r="W932" t="s">
        <v>4668</v>
      </c>
      <c r="X932">
        <v>9</v>
      </c>
      <c r="Y932" t="s">
        <v>6470</v>
      </c>
      <c r="Z932" t="s">
        <v>8320</v>
      </c>
      <c r="AB932" t="str">
        <f>HYPERLINK("Melting_Curves/meltCurve_P09871_C1S.pdf", "Melting_Curves/meltCurve_P09871_C1S.pdf")</f>
        <v>Melting_Curves/meltCurve_P09871_C1S.pdf</v>
      </c>
    </row>
    <row r="933" spans="1:28" x14ac:dyDescent="0.25">
      <c r="A933" t="s">
        <v>937</v>
      </c>
      <c r="B933">
        <v>1</v>
      </c>
      <c r="C933">
        <v>1.00608134405812</v>
      </c>
      <c r="D933">
        <v>1.78418526206539</v>
      </c>
      <c r="E933">
        <v>4.1502335236118304</v>
      </c>
      <c r="F933">
        <v>3.43490529320187</v>
      </c>
      <c r="G933">
        <v>3.6856188375713499</v>
      </c>
      <c r="H933">
        <v>2.36312921639855</v>
      </c>
      <c r="I933">
        <v>3.2542488323819398</v>
      </c>
      <c r="J933">
        <v>3.5224766476388201</v>
      </c>
      <c r="K933">
        <v>3.3599831344058102</v>
      </c>
      <c r="L933">
        <v>10913.1912629705</v>
      </c>
      <c r="M933">
        <v>250</v>
      </c>
      <c r="O933">
        <v>43.649973182392898</v>
      </c>
      <c r="P933">
        <v>0.71592257488223598</v>
      </c>
      <c r="Q933">
        <v>1.5</v>
      </c>
      <c r="R933">
        <v>-1.3047216318622801</v>
      </c>
      <c r="S933" t="s">
        <v>2807</v>
      </c>
      <c r="T933" t="s">
        <v>3746</v>
      </c>
      <c r="U933" t="s">
        <v>3746</v>
      </c>
      <c r="V933" t="s">
        <v>3746</v>
      </c>
      <c r="W933" t="s">
        <v>4669</v>
      </c>
      <c r="X933">
        <v>14</v>
      </c>
      <c r="Y933" t="s">
        <v>6471</v>
      </c>
      <c r="Z933" t="s">
        <v>8321</v>
      </c>
      <c r="AA933">
        <v>1.4390822775067009</v>
      </c>
      <c r="AB933" t="str">
        <f>HYPERLINK("Melting_Curves/meltCurve_P09960_LTA4H.pdf", "Melting_Curves/meltCurve_P09960_LTA4H.pdf")</f>
        <v>Melting_Curves/meltCurve_P09960_LTA4H.pdf</v>
      </c>
    </row>
    <row r="934" spans="1:28" x14ac:dyDescent="0.25">
      <c r="A934" t="s">
        <v>938</v>
      </c>
      <c r="B934">
        <v>1</v>
      </c>
      <c r="C934">
        <v>1.0639179139602799</v>
      </c>
      <c r="D934">
        <v>2.0738962628259401</v>
      </c>
      <c r="E934">
        <v>2.9427656970723901</v>
      </c>
      <c r="F934">
        <v>1.9779723242022</v>
      </c>
      <c r="G934">
        <v>2.5033418055163299</v>
      </c>
      <c r="H934">
        <v>1.3578085286642201</v>
      </c>
      <c r="I934">
        <v>2.47585427845241</v>
      </c>
      <c r="J934">
        <v>2.2184881860114798</v>
      </c>
      <c r="K934">
        <v>1.6250588346041599</v>
      </c>
      <c r="L934">
        <v>10807.3768397404</v>
      </c>
      <c r="M934">
        <v>250</v>
      </c>
      <c r="O934">
        <v>43.226751266647398</v>
      </c>
      <c r="P934">
        <v>0.72293213221463604</v>
      </c>
      <c r="Q934">
        <v>1.5</v>
      </c>
      <c r="R934">
        <v>-0.35766130763658099</v>
      </c>
      <c r="S934" t="s">
        <v>2808</v>
      </c>
      <c r="T934" t="s">
        <v>3746</v>
      </c>
      <c r="U934" t="s">
        <v>3746</v>
      </c>
      <c r="V934" t="s">
        <v>3746</v>
      </c>
      <c r="W934" t="s">
        <v>4670</v>
      </c>
      <c r="X934">
        <v>2</v>
      </c>
      <c r="Y934" t="s">
        <v>6472</v>
      </c>
      <c r="Z934" t="s">
        <v>8322</v>
      </c>
      <c r="AA934">
        <v>1.4461369437901339</v>
      </c>
      <c r="AB934" t="str">
        <f>HYPERLINK("Melting_Curves/meltCurve_P0C091_FREM3.pdf", "Melting_Curves/meltCurve_P0C091_FREM3.pdf")</f>
        <v>Melting_Curves/meltCurve_P0C091_FREM3.pdf</v>
      </c>
    </row>
    <row r="935" spans="1:28" x14ac:dyDescent="0.25">
      <c r="A935" t="s">
        <v>939</v>
      </c>
      <c r="B935">
        <v>1</v>
      </c>
      <c r="C935">
        <v>1.0559583759951501</v>
      </c>
      <c r="D935">
        <v>1.68721399168356</v>
      </c>
      <c r="E935">
        <v>2.8624861566750899</v>
      </c>
      <c r="F935">
        <v>2.0093194308042701</v>
      </c>
      <c r="G935">
        <v>2.7179931880393702</v>
      </c>
      <c r="H935">
        <v>1.99594625655599</v>
      </c>
      <c r="I935">
        <v>2.6583362935411698</v>
      </c>
      <c r="J935">
        <v>2.7897695217000602</v>
      </c>
      <c r="K935">
        <v>2.6085003238815601</v>
      </c>
      <c r="L935">
        <v>10813.8587021567</v>
      </c>
      <c r="M935">
        <v>250</v>
      </c>
      <c r="O935">
        <v>43.252665140273798</v>
      </c>
      <c r="P935">
        <v>0.722498804946061</v>
      </c>
      <c r="Q935">
        <v>1.5</v>
      </c>
      <c r="R935">
        <v>-0.80961651157735104</v>
      </c>
      <c r="S935" t="s">
        <v>2809</v>
      </c>
      <c r="T935" t="s">
        <v>3746</v>
      </c>
      <c r="U935" t="s">
        <v>3746</v>
      </c>
      <c r="V935" t="s">
        <v>3746</v>
      </c>
      <c r="W935" t="s">
        <v>4671</v>
      </c>
      <c r="X935">
        <v>76</v>
      </c>
      <c r="Y935" t="s">
        <v>6473</v>
      </c>
      <c r="Z935" t="s">
        <v>8323</v>
      </c>
      <c r="AA935">
        <v>1.445704796878543</v>
      </c>
      <c r="AB935" t="str">
        <f>HYPERLINK("Melting_Curves/meltCurve_P0C0L4_C4A.pdf", "Melting_Curves/meltCurve_P0C0L4_C4A.pdf")</f>
        <v>Melting_Curves/meltCurve_P0C0L4_C4A.pdf</v>
      </c>
    </row>
    <row r="936" spans="1:28" x14ac:dyDescent="0.25">
      <c r="A936" t="s">
        <v>940</v>
      </c>
      <c r="B936">
        <v>1</v>
      </c>
      <c r="C936">
        <v>1.15298870125137</v>
      </c>
      <c r="D936">
        <v>1.82079941683878</v>
      </c>
      <c r="E936">
        <v>2.89673186733082</v>
      </c>
      <c r="F936">
        <v>2.39879722998421</v>
      </c>
      <c r="G936">
        <v>2.7601749483659299</v>
      </c>
      <c r="H936">
        <v>1.72017373344673</v>
      </c>
      <c r="I936">
        <v>2.5930628113230498</v>
      </c>
      <c r="J936">
        <v>2.6610982869639201</v>
      </c>
      <c r="K936">
        <v>2.4568399951403199</v>
      </c>
      <c r="L936">
        <v>10760.1347523152</v>
      </c>
      <c r="M936">
        <v>250</v>
      </c>
      <c r="O936">
        <v>43.037762626384698</v>
      </c>
      <c r="P936">
        <v>0.72610614430370202</v>
      </c>
      <c r="Q936">
        <v>1.5</v>
      </c>
      <c r="R936">
        <v>-0.91586938679732299</v>
      </c>
      <c r="S936" t="s">
        <v>2810</v>
      </c>
      <c r="T936" t="s">
        <v>3746</v>
      </c>
      <c r="U936" t="s">
        <v>3746</v>
      </c>
      <c r="V936" t="s">
        <v>3746</v>
      </c>
      <c r="W936" t="s">
        <v>4672</v>
      </c>
      <c r="X936">
        <v>76</v>
      </c>
      <c r="Y936" t="s">
        <v>6474</v>
      </c>
      <c r="Z936" t="s">
        <v>8324</v>
      </c>
      <c r="AA936">
        <v>1.449286582093865</v>
      </c>
      <c r="AB936" t="str">
        <f>HYPERLINK("Melting_Curves/meltCurve_P0C0L5_C4B.pdf", "Melting_Curves/meltCurve_P0C0L5_C4B.pdf")</f>
        <v>Melting_Curves/meltCurve_P0C0L5_C4B.pdf</v>
      </c>
    </row>
    <row r="937" spans="1:28" x14ac:dyDescent="0.25">
      <c r="A937" t="s">
        <v>941</v>
      </c>
      <c r="B937">
        <v>1</v>
      </c>
      <c r="C937">
        <v>0.878304606514139</v>
      </c>
      <c r="D937">
        <v>1.34919953382813</v>
      </c>
      <c r="E937">
        <v>1.37772189167638</v>
      </c>
      <c r="F937">
        <v>0.97202968778752397</v>
      </c>
      <c r="G937">
        <v>1.1812549837453199</v>
      </c>
      <c r="H937">
        <v>0.70097528062319803</v>
      </c>
      <c r="I937">
        <v>1.00036803042385</v>
      </c>
      <c r="J937">
        <v>0.99723977182113699</v>
      </c>
      <c r="K937">
        <v>0.92418573268723503</v>
      </c>
      <c r="L937">
        <v>2244.7747682945101</v>
      </c>
      <c r="M937">
        <v>38.147377302520397</v>
      </c>
      <c r="O937">
        <v>58.683788793176703</v>
      </c>
      <c r="P937">
        <v>-1.24855573841055E-2</v>
      </c>
      <c r="Q937">
        <v>0.92317186347852198</v>
      </c>
      <c r="R937">
        <v>1.6666701451832199E-2</v>
      </c>
      <c r="S937" t="s">
        <v>2811</v>
      </c>
      <c r="T937" t="s">
        <v>3746</v>
      </c>
      <c r="U937" t="s">
        <v>3746</v>
      </c>
      <c r="V937" t="s">
        <v>3746</v>
      </c>
      <c r="W937" t="s">
        <v>4673</v>
      </c>
      <c r="X937">
        <v>9</v>
      </c>
      <c r="Y937" t="s">
        <v>6475</v>
      </c>
      <c r="Z937" t="s">
        <v>8325</v>
      </c>
      <c r="AA937">
        <v>0.97176254810847074</v>
      </c>
      <c r="AB937" t="str">
        <f>HYPERLINK("Melting_Curves/meltCurve_P0CG05_IGLC2.pdf", "Melting_Curves/meltCurve_P0CG05_IGLC2.pdf")</f>
        <v>Melting_Curves/meltCurve_P0CG05_IGLC2.pdf</v>
      </c>
    </row>
    <row r="938" spans="1:28" x14ac:dyDescent="0.25">
      <c r="A938" t="s">
        <v>942</v>
      </c>
      <c r="B938">
        <v>1</v>
      </c>
      <c r="C938">
        <v>1.074202887287</v>
      </c>
      <c r="D938">
        <v>1.28323003089358</v>
      </c>
      <c r="E938">
        <v>1.519420211009</v>
      </c>
      <c r="F938">
        <v>1.1647463423164399</v>
      </c>
      <c r="G938">
        <v>1.24913051081275</v>
      </c>
      <c r="H938">
        <v>0.67709406027162999</v>
      </c>
      <c r="I938">
        <v>1.1371947072881701</v>
      </c>
      <c r="J938">
        <v>1.00446888297356</v>
      </c>
      <c r="K938">
        <v>0.96018808168340897</v>
      </c>
      <c r="L938">
        <v>11705.3714764618</v>
      </c>
      <c r="M938">
        <v>164.03655195388501</v>
      </c>
      <c r="Q938">
        <v>0</v>
      </c>
      <c r="R938">
        <v>-0.24798810714626501</v>
      </c>
      <c r="S938" t="s">
        <v>2812</v>
      </c>
      <c r="T938" t="s">
        <v>3746</v>
      </c>
      <c r="U938" t="s">
        <v>3746</v>
      </c>
      <c r="V938" t="s">
        <v>3746</v>
      </c>
      <c r="W938" t="s">
        <v>4674</v>
      </c>
      <c r="X938">
        <v>5</v>
      </c>
      <c r="Y938" t="s">
        <v>6476</v>
      </c>
      <c r="Z938" t="s">
        <v>8326</v>
      </c>
      <c r="AA938">
        <v>0.99943988664996108</v>
      </c>
      <c r="AB938" t="str">
        <f>HYPERLINK("Melting_Curves/meltCurve_P0DJI8_SAA1.pdf", "Melting_Curves/meltCurve_P0DJI8_SAA1.pdf")</f>
        <v>Melting_Curves/meltCurve_P0DJI8_SAA1.pdf</v>
      </c>
    </row>
    <row r="939" spans="1:28" x14ac:dyDescent="0.25">
      <c r="A939" t="s">
        <v>943</v>
      </c>
      <c r="B939">
        <v>1</v>
      </c>
      <c r="C939">
        <v>1.30794951492889</v>
      </c>
      <c r="D939">
        <v>1.6458980879721199</v>
      </c>
      <c r="E939">
        <v>1.89224828105868</v>
      </c>
      <c r="F939">
        <v>1.14575680512386</v>
      </c>
      <c r="G939">
        <v>1.3232551568239601</v>
      </c>
      <c r="H939">
        <v>0.872044833757182</v>
      </c>
      <c r="I939">
        <v>1.2656117547329799</v>
      </c>
      <c r="J939">
        <v>1.2775266082697601</v>
      </c>
      <c r="K939">
        <v>1.06696807007629</v>
      </c>
      <c r="S939" t="s">
        <v>2813</v>
      </c>
      <c r="T939" t="s">
        <v>3746</v>
      </c>
      <c r="U939" t="s">
        <v>3747</v>
      </c>
      <c r="V939" t="s">
        <v>3746</v>
      </c>
      <c r="W939" t="s">
        <v>4675</v>
      </c>
      <c r="X939">
        <v>4</v>
      </c>
      <c r="Y939" t="s">
        <v>6477</v>
      </c>
      <c r="Z939" t="s">
        <v>8327</v>
      </c>
      <c r="AB939" t="str">
        <f>HYPERLINK("Melting_Curves/meltCurve_P0DJI9_SAA2.pdf", "Melting_Curves/meltCurve_P0DJI9_SAA2.pdf")</f>
        <v>Melting_Curves/meltCurve_P0DJI9_SAA2.pdf</v>
      </c>
    </row>
    <row r="940" spans="1:28" x14ac:dyDescent="0.25">
      <c r="A940" t="s">
        <v>944</v>
      </c>
      <c r="B940">
        <v>1</v>
      </c>
      <c r="C940">
        <v>1.0332751433966301</v>
      </c>
      <c r="D940">
        <v>1.48106451957676</v>
      </c>
      <c r="E940">
        <v>1.96569168833945</v>
      </c>
      <c r="F940">
        <v>1.4001923830560401</v>
      </c>
      <c r="G940">
        <v>1.7052264063557701</v>
      </c>
      <c r="H940">
        <v>0.97167693897181895</v>
      </c>
      <c r="I940">
        <v>1.58017741992946</v>
      </c>
      <c r="J940">
        <v>1.46271687626919</v>
      </c>
      <c r="K940">
        <v>1.4128041611742499</v>
      </c>
      <c r="L940">
        <v>3812.9186427332402</v>
      </c>
      <c r="M940">
        <v>86.226478675270101</v>
      </c>
      <c r="O940">
        <v>44.1960484229744</v>
      </c>
      <c r="P940">
        <v>0.243678361832871</v>
      </c>
      <c r="Q940">
        <v>1.49959680371091</v>
      </c>
      <c r="R940">
        <v>0.39681217407746</v>
      </c>
      <c r="S940" t="s">
        <v>2814</v>
      </c>
      <c r="T940" t="s">
        <v>3746</v>
      </c>
      <c r="U940" t="s">
        <v>3746</v>
      </c>
      <c r="V940" t="s">
        <v>3746</v>
      </c>
      <c r="W940" t="s">
        <v>4676</v>
      </c>
      <c r="X940">
        <v>7</v>
      </c>
      <c r="Y940" t="s">
        <v>6478</v>
      </c>
      <c r="Z940" t="s">
        <v>8328</v>
      </c>
      <c r="AA940">
        <v>1.4289961026841771</v>
      </c>
      <c r="AB940" t="str">
        <f>HYPERLINK("Melting_Curves/meltCurve_P10253_GAA.pdf", "Melting_Curves/meltCurve_P10253_GAA.pdf")</f>
        <v>Melting_Curves/meltCurve_P10253_GAA.pdf</v>
      </c>
    </row>
    <row r="941" spans="1:28" x14ac:dyDescent="0.25">
      <c r="A941" t="s">
        <v>945</v>
      </c>
      <c r="B941">
        <v>1</v>
      </c>
      <c r="C941">
        <v>1.05698797692682</v>
      </c>
      <c r="D941">
        <v>1.4635832927931101</v>
      </c>
      <c r="E941">
        <v>1.69907568281326</v>
      </c>
      <c r="F941">
        <v>1.2357008826186699</v>
      </c>
      <c r="G941">
        <v>1.2383417888665</v>
      </c>
      <c r="H941">
        <v>0.83331016748905395</v>
      </c>
      <c r="I941">
        <v>1.2572451177983199</v>
      </c>
      <c r="J941">
        <v>1.32316352769477</v>
      </c>
      <c r="K941">
        <v>1.2084578497463301</v>
      </c>
      <c r="L941">
        <v>10783.983519167199</v>
      </c>
      <c r="M941">
        <v>250</v>
      </c>
      <c r="O941">
        <v>43.133173655977998</v>
      </c>
      <c r="P941">
        <v>0.40913953615954401</v>
      </c>
      <c r="Q941">
        <v>1.28235978631815</v>
      </c>
      <c r="R941">
        <v>0.19959976961394801</v>
      </c>
      <c r="S941" t="s">
        <v>2815</v>
      </c>
      <c r="T941" t="s">
        <v>3746</v>
      </c>
      <c r="U941" t="s">
        <v>3746</v>
      </c>
      <c r="V941" t="s">
        <v>3746</v>
      </c>
      <c r="W941" t="s">
        <v>4677</v>
      </c>
      <c r="X941">
        <v>4</v>
      </c>
      <c r="Y941" t="s">
        <v>6479</v>
      </c>
      <c r="Z941" t="s">
        <v>8329</v>
      </c>
      <c r="AA941">
        <v>1.252823021668005</v>
      </c>
      <c r="AB941" t="str">
        <f>HYPERLINK("Melting_Curves/meltCurve_P10301_RRAS.pdf", "Melting_Curves/meltCurve_P10301_RRAS.pdf")</f>
        <v>Melting_Curves/meltCurve_P10301_RRAS.pdf</v>
      </c>
    </row>
    <row r="942" spans="1:28" x14ac:dyDescent="0.25">
      <c r="A942" t="s">
        <v>946</v>
      </c>
      <c r="B942">
        <v>1</v>
      </c>
      <c r="C942">
        <v>0.94316488777080298</v>
      </c>
      <c r="D942">
        <v>1.20406418679628</v>
      </c>
      <c r="E942">
        <v>1.2980240822607001</v>
      </c>
      <c r="F942">
        <v>0.950516571819359</v>
      </c>
      <c r="G942">
        <v>1.15274894365337</v>
      </c>
      <c r="H942">
        <v>0.54697994773221303</v>
      </c>
      <c r="I942">
        <v>0.91930244486237001</v>
      </c>
      <c r="J942">
        <v>0.92526194953960395</v>
      </c>
      <c r="K942">
        <v>0.87187064943946502</v>
      </c>
      <c r="L942">
        <v>14718.3858338351</v>
      </c>
      <c r="M942">
        <v>250</v>
      </c>
      <c r="O942">
        <v>58.869754123326203</v>
      </c>
      <c r="P942">
        <v>-0.19548705475271499</v>
      </c>
      <c r="Q942">
        <v>0.81586753440345505</v>
      </c>
      <c r="R942">
        <v>0.33892448156299299</v>
      </c>
      <c r="S942" t="s">
        <v>2816</v>
      </c>
      <c r="T942" t="s">
        <v>3746</v>
      </c>
      <c r="U942" t="s">
        <v>3746</v>
      </c>
      <c r="V942" t="s">
        <v>3746</v>
      </c>
      <c r="W942" t="s">
        <v>4678</v>
      </c>
      <c r="X942">
        <v>15</v>
      </c>
      <c r="Y942" t="s">
        <v>6480</v>
      </c>
      <c r="Z942" t="s">
        <v>8330</v>
      </c>
      <c r="AA942">
        <v>0.93172762832875367</v>
      </c>
      <c r="AB942" t="str">
        <f>HYPERLINK("Melting_Curves/meltCurve_P10451_2_SPP1.pdf", "Melting_Curves/meltCurve_P10451_2_SPP1.pdf")</f>
        <v>Melting_Curves/meltCurve_P10451_2_SPP1.pdf</v>
      </c>
    </row>
    <row r="943" spans="1:28" x14ac:dyDescent="0.25">
      <c r="A943" t="s">
        <v>947</v>
      </c>
      <c r="B943">
        <v>1</v>
      </c>
      <c r="C943">
        <v>0.79832220744863103</v>
      </c>
      <c r="D943">
        <v>1.1856126547229</v>
      </c>
      <c r="E943">
        <v>1.1016407824215599</v>
      </c>
      <c r="F943">
        <v>0.97717708661741098</v>
      </c>
      <c r="G943">
        <v>1.0523624799528499</v>
      </c>
      <c r="H943">
        <v>0.63761599934204205</v>
      </c>
      <c r="I943">
        <v>0.90916069250065101</v>
      </c>
      <c r="J943">
        <v>0.94654092360835096</v>
      </c>
      <c r="K943">
        <v>0.81562101627075001</v>
      </c>
      <c r="L943">
        <v>5421.0683053953799</v>
      </c>
      <c r="M943">
        <v>92.563065389294707</v>
      </c>
      <c r="O943">
        <v>58.538893518911799</v>
      </c>
      <c r="P943">
        <v>-6.7789262123152505E-2</v>
      </c>
      <c r="Q943">
        <v>0.82851440472690296</v>
      </c>
      <c r="R943">
        <v>0.35845350548541399</v>
      </c>
      <c r="S943" t="s">
        <v>2817</v>
      </c>
      <c r="T943" t="s">
        <v>3746</v>
      </c>
      <c r="U943" t="s">
        <v>3746</v>
      </c>
      <c r="V943" t="s">
        <v>3746</v>
      </c>
      <c r="W943" t="s">
        <v>4679</v>
      </c>
      <c r="X943">
        <v>16</v>
      </c>
      <c r="Y943" t="s">
        <v>6480</v>
      </c>
      <c r="Z943" t="s">
        <v>8331</v>
      </c>
      <c r="AA943">
        <v>0.93477109932850178</v>
      </c>
      <c r="AB943" t="str">
        <f>HYPERLINK("Melting_Curves/meltCurve_P10451_4_SPP1.pdf", "Melting_Curves/meltCurve_P10451_4_SPP1.pdf")</f>
        <v>Melting_Curves/meltCurve_P10451_4_SPP1.pdf</v>
      </c>
    </row>
    <row r="944" spans="1:28" x14ac:dyDescent="0.25">
      <c r="A944" t="s">
        <v>948</v>
      </c>
      <c r="B944">
        <v>1</v>
      </c>
      <c r="C944">
        <v>0.91432277846571097</v>
      </c>
      <c r="D944">
        <v>1.2256618904416501</v>
      </c>
      <c r="E944">
        <v>1.29925113509051</v>
      </c>
      <c r="F944">
        <v>0.87631935845273901</v>
      </c>
      <c r="G944">
        <v>1.05858246358865</v>
      </c>
      <c r="H944">
        <v>0.57152544371720004</v>
      </c>
      <c r="I944">
        <v>0.87820626216168396</v>
      </c>
      <c r="J944">
        <v>0.886520431629223</v>
      </c>
      <c r="K944">
        <v>0.80019458694498502</v>
      </c>
      <c r="L944">
        <v>14697.075791333</v>
      </c>
      <c r="M944">
        <v>250</v>
      </c>
      <c r="O944">
        <v>58.784531522625699</v>
      </c>
      <c r="P944">
        <v>-0.22952745949289699</v>
      </c>
      <c r="Q944">
        <v>0.78411733813079998</v>
      </c>
      <c r="R944">
        <v>0.41252287291733403</v>
      </c>
      <c r="S944" t="s">
        <v>2818</v>
      </c>
      <c r="T944" t="s">
        <v>3746</v>
      </c>
      <c r="U944" t="s">
        <v>3746</v>
      </c>
      <c r="V944" t="s">
        <v>3746</v>
      </c>
      <c r="W944" t="s">
        <v>4680</v>
      </c>
      <c r="X944">
        <v>15</v>
      </c>
      <c r="Y944" t="s">
        <v>6480</v>
      </c>
      <c r="Z944" t="s">
        <v>8332</v>
      </c>
      <c r="AA944">
        <v>0.91934190794163984</v>
      </c>
      <c r="AB944" t="str">
        <f>HYPERLINK("Melting_Curves/meltCurve_P10451_5_SPP1.pdf", "Melting_Curves/meltCurve_P10451_5_SPP1.pdf")</f>
        <v>Melting_Curves/meltCurve_P10451_5_SPP1.pdf</v>
      </c>
    </row>
    <row r="945" spans="1:28" x14ac:dyDescent="0.25">
      <c r="A945" t="s">
        <v>949</v>
      </c>
      <c r="B945">
        <v>1</v>
      </c>
      <c r="C945">
        <v>1.0451837861397599</v>
      </c>
      <c r="D945">
        <v>1.6295220107511299</v>
      </c>
      <c r="E945">
        <v>2.0939270666860401</v>
      </c>
      <c r="F945">
        <v>1.5485979950602899</v>
      </c>
      <c r="G945">
        <v>1.8704053465058801</v>
      </c>
      <c r="H945">
        <v>1.3085137294784299</v>
      </c>
      <c r="I945">
        <v>1.876797907889</v>
      </c>
      <c r="J945">
        <v>1.8563852971088199</v>
      </c>
      <c r="K945">
        <v>1.68022664535813</v>
      </c>
      <c r="L945">
        <v>10824.0621171193</v>
      </c>
      <c r="M945">
        <v>250</v>
      </c>
      <c r="O945">
        <v>43.293477136765802</v>
      </c>
      <c r="P945">
        <v>0.72181773393078996</v>
      </c>
      <c r="Q945">
        <v>1.5</v>
      </c>
      <c r="R945">
        <v>0.30632297824934601</v>
      </c>
      <c r="S945" t="s">
        <v>2819</v>
      </c>
      <c r="T945" t="s">
        <v>3746</v>
      </c>
      <c r="U945" t="s">
        <v>3746</v>
      </c>
      <c r="V945" t="s">
        <v>3746</v>
      </c>
      <c r="W945" t="s">
        <v>4681</v>
      </c>
      <c r="X945">
        <v>19</v>
      </c>
      <c r="Y945" t="s">
        <v>6481</v>
      </c>
      <c r="Z945" t="s">
        <v>8333</v>
      </c>
      <c r="AA945">
        <v>1.4450245334015079</v>
      </c>
      <c r="AB945" t="str">
        <f>HYPERLINK("Melting_Curves/meltCurve_P10586_2_PTPRF.pdf", "Melting_Curves/meltCurve_P10586_2_PTPRF.pdf")</f>
        <v>Melting_Curves/meltCurve_P10586_2_PTPRF.pdf</v>
      </c>
    </row>
    <row r="946" spans="1:28" x14ac:dyDescent="0.25">
      <c r="A946" t="s">
        <v>950</v>
      </c>
      <c r="B946">
        <v>1</v>
      </c>
      <c r="C946">
        <v>1.06102658418325</v>
      </c>
      <c r="D946">
        <v>1.2695201471325901</v>
      </c>
      <c r="E946">
        <v>1.41481357632503</v>
      </c>
      <c r="F946">
        <v>1.28807891656914</v>
      </c>
      <c r="G946">
        <v>1.3007858217689301</v>
      </c>
      <c r="H946">
        <v>0.83029593713425898</v>
      </c>
      <c r="I946">
        <v>1.0588530346095999</v>
      </c>
      <c r="J946">
        <v>1.16226383547902</v>
      </c>
      <c r="K946">
        <v>1.10516636014044</v>
      </c>
      <c r="L946">
        <v>10753.176350239701</v>
      </c>
      <c r="M946">
        <v>250</v>
      </c>
      <c r="O946">
        <v>43.009956558581102</v>
      </c>
      <c r="P946">
        <v>0.25971053129058902</v>
      </c>
      <c r="Q946">
        <v>1.1787222031942699</v>
      </c>
      <c r="R946">
        <v>0.13742111250231301</v>
      </c>
      <c r="S946" t="s">
        <v>2820</v>
      </c>
      <c r="T946" t="s">
        <v>3746</v>
      </c>
      <c r="U946" t="s">
        <v>3746</v>
      </c>
      <c r="V946" t="s">
        <v>3746</v>
      </c>
      <c r="W946" t="s">
        <v>4682</v>
      </c>
      <c r="X946">
        <v>6</v>
      </c>
      <c r="Y946" t="s">
        <v>6482</v>
      </c>
      <c r="Z946" t="s">
        <v>8334</v>
      </c>
      <c r="AA946">
        <v>1.160760800490702</v>
      </c>
      <c r="AB946" t="str">
        <f>HYPERLINK("Melting_Curves/meltCurve_P10599_TXN.pdf", "Melting_Curves/meltCurve_P10599_TXN.pdf")</f>
        <v>Melting_Curves/meltCurve_P10599_TXN.pdf</v>
      </c>
    </row>
    <row r="947" spans="1:28" x14ac:dyDescent="0.25">
      <c r="A947" t="s">
        <v>951</v>
      </c>
      <c r="B947">
        <v>1</v>
      </c>
      <c r="C947">
        <v>1.0620720232523799</v>
      </c>
      <c r="D947">
        <v>1.42174491354254</v>
      </c>
      <c r="E947">
        <v>1.79136903295729</v>
      </c>
      <c r="F947">
        <v>1.64343071087246</v>
      </c>
      <c r="G947">
        <v>2.1171978915217502</v>
      </c>
      <c r="H947">
        <v>1.4009064485935301</v>
      </c>
      <c r="I947">
        <v>3.8914232228188599</v>
      </c>
      <c r="J947">
        <v>4.33888368885167</v>
      </c>
      <c r="K947">
        <v>3.7992511946401302</v>
      </c>
      <c r="L947">
        <v>2512.3546050344698</v>
      </c>
      <c r="M947">
        <v>56.476003592123803</v>
      </c>
      <c r="O947">
        <v>44.429679895015703</v>
      </c>
      <c r="P947">
        <v>0.158891648180988</v>
      </c>
      <c r="Q947">
        <v>1.5</v>
      </c>
      <c r="R947">
        <v>-0.355222094688113</v>
      </c>
      <c r="S947" t="s">
        <v>2821</v>
      </c>
      <c r="T947" t="s">
        <v>3746</v>
      </c>
      <c r="U947" t="s">
        <v>3746</v>
      </c>
      <c r="V947" t="s">
        <v>3746</v>
      </c>
      <c r="W947" t="s">
        <v>4683</v>
      </c>
      <c r="X947">
        <v>4</v>
      </c>
      <c r="Y947" t="s">
        <v>6483</v>
      </c>
      <c r="Z947" t="s">
        <v>8335</v>
      </c>
      <c r="AA947">
        <v>1.4244578590721271</v>
      </c>
      <c r="AB947" t="str">
        <f>HYPERLINK("Melting_Curves/meltCurve_P10619_CTSA.pdf", "Melting_Curves/meltCurve_P10619_CTSA.pdf")</f>
        <v>Melting_Curves/meltCurve_P10619_CTSA.pdf</v>
      </c>
    </row>
    <row r="948" spans="1:28" x14ac:dyDescent="0.25">
      <c r="A948" t="s">
        <v>952</v>
      </c>
      <c r="B948">
        <v>1</v>
      </c>
      <c r="C948">
        <v>1.07876468494126</v>
      </c>
      <c r="D948">
        <v>1.45932716269135</v>
      </c>
      <c r="E948">
        <v>4.03809184763261</v>
      </c>
      <c r="F948">
        <v>3.2599679601281601</v>
      </c>
      <c r="G948">
        <v>3.5615877536489902</v>
      </c>
      <c r="H948">
        <v>2.5391598433606299</v>
      </c>
      <c r="I948">
        <v>3.3997864008544001</v>
      </c>
      <c r="J948">
        <v>3.60341758632965</v>
      </c>
      <c r="K948">
        <v>3.5022249911000398</v>
      </c>
      <c r="L948">
        <v>3195.75535017433</v>
      </c>
      <c r="M948">
        <v>72.766656306661702</v>
      </c>
      <c r="O948">
        <v>43.884718270236803</v>
      </c>
      <c r="P948">
        <v>0.20726654120412699</v>
      </c>
      <c r="Q948">
        <v>1.5</v>
      </c>
      <c r="R948">
        <v>-1.2692429324919901</v>
      </c>
      <c r="S948" t="s">
        <v>2822</v>
      </c>
      <c r="T948" t="s">
        <v>3746</v>
      </c>
      <c r="U948" t="s">
        <v>3746</v>
      </c>
      <c r="V948" t="s">
        <v>3746</v>
      </c>
      <c r="W948" t="s">
        <v>4684</v>
      </c>
      <c r="X948">
        <v>18</v>
      </c>
      <c r="Y948" t="s">
        <v>6484</v>
      </c>
      <c r="Z948" t="s">
        <v>8336</v>
      </c>
      <c r="AA948">
        <v>1.4342399301474951</v>
      </c>
      <c r="AB948" t="str">
        <f>HYPERLINK("Melting_Curves/meltCurve_P10643_C7.pdf", "Melting_Curves/meltCurve_P10643_C7.pdf")</f>
        <v>Melting_Curves/meltCurve_P10643_C7.pdf</v>
      </c>
    </row>
    <row r="949" spans="1:28" x14ac:dyDescent="0.25">
      <c r="A949" t="s">
        <v>953</v>
      </c>
      <c r="B949">
        <v>1</v>
      </c>
      <c r="C949">
        <v>1.1144069789315301</v>
      </c>
      <c r="D949">
        <v>1.4017823551542501</v>
      </c>
      <c r="E949">
        <v>1.6801871708051199</v>
      </c>
      <c r="F949">
        <v>1.2273090669676401</v>
      </c>
      <c r="G949">
        <v>1.3922592174567301</v>
      </c>
      <c r="H949">
        <v>1.03889202407825</v>
      </c>
      <c r="I949">
        <v>1.5381630925507901</v>
      </c>
      <c r="J949">
        <v>1.37850357411588</v>
      </c>
      <c r="K949">
        <v>1.2708098194130899</v>
      </c>
      <c r="L949">
        <v>10758.805370569</v>
      </c>
      <c r="M949">
        <v>250</v>
      </c>
      <c r="O949">
        <v>43.0324600298609</v>
      </c>
      <c r="P949">
        <v>0.53155837182368604</v>
      </c>
      <c r="Q949">
        <v>1.36598829361728</v>
      </c>
      <c r="R949">
        <v>0.37446424663829603</v>
      </c>
      <c r="S949" t="s">
        <v>2823</v>
      </c>
      <c r="T949" t="s">
        <v>3746</v>
      </c>
      <c r="U949" t="s">
        <v>3746</v>
      </c>
      <c r="V949" t="s">
        <v>3746</v>
      </c>
      <c r="W949" t="s">
        <v>4685</v>
      </c>
      <c r="X949">
        <v>4</v>
      </c>
      <c r="Y949" t="s">
        <v>6485</v>
      </c>
      <c r="Z949" t="s">
        <v>8337</v>
      </c>
      <c r="AA949">
        <v>1.3289321342207221</v>
      </c>
      <c r="AB949" t="str">
        <f>HYPERLINK("Melting_Curves/meltCurve_P10644_PRKAR1A.pdf", "Melting_Curves/meltCurve_P10644_PRKAR1A.pdf")</f>
        <v>Melting_Curves/meltCurve_P10644_PRKAR1A.pdf</v>
      </c>
    </row>
    <row r="950" spans="1:28" x14ac:dyDescent="0.25">
      <c r="A950" t="s">
        <v>954</v>
      </c>
      <c r="B950">
        <v>1</v>
      </c>
      <c r="C950">
        <v>1.0304249324697199</v>
      </c>
      <c r="D950">
        <v>1.44796537802434</v>
      </c>
      <c r="E950">
        <v>1.8783583606843099</v>
      </c>
      <c r="F950">
        <v>1.1429463533649</v>
      </c>
      <c r="G950">
        <v>1.4090011327659799</v>
      </c>
      <c r="H950">
        <v>0.86078596531993401</v>
      </c>
      <c r="I950">
        <v>1.4861018327572699</v>
      </c>
      <c r="J950">
        <v>1.2906851781927999</v>
      </c>
      <c r="K950">
        <v>1.28856487263644</v>
      </c>
      <c r="L950">
        <v>10825.9623637355</v>
      </c>
      <c r="M950">
        <v>250</v>
      </c>
      <c r="O950">
        <v>43.301068587630098</v>
      </c>
      <c r="P950">
        <v>0.50597923379361098</v>
      </c>
      <c r="Q950">
        <v>1.35055114256172</v>
      </c>
      <c r="R950">
        <v>0.231073859277036</v>
      </c>
      <c r="S950" t="s">
        <v>2824</v>
      </c>
      <c r="T950" t="s">
        <v>3746</v>
      </c>
      <c r="U950" t="s">
        <v>3746</v>
      </c>
      <c r="V950" t="s">
        <v>3746</v>
      </c>
      <c r="W950" t="s">
        <v>4686</v>
      </c>
      <c r="X950">
        <v>1</v>
      </c>
      <c r="Y950" t="s">
        <v>6486</v>
      </c>
      <c r="Z950" t="s">
        <v>8338</v>
      </c>
      <c r="AA950">
        <v>1.3119188948111651</v>
      </c>
      <c r="AB950" t="str">
        <f>HYPERLINK("Melting_Curves/meltCurve_P10721_3_KIT.pdf", "Melting_Curves/meltCurve_P10721_3_KIT.pdf")</f>
        <v>Melting_Curves/meltCurve_P10721_3_KIT.pdf</v>
      </c>
    </row>
    <row r="951" spans="1:28" x14ac:dyDescent="0.25">
      <c r="A951" t="s">
        <v>955</v>
      </c>
      <c r="B951">
        <v>1</v>
      </c>
      <c r="C951">
        <v>0.97518698200929899</v>
      </c>
      <c r="D951">
        <v>1.8583232261977001</v>
      </c>
      <c r="E951">
        <v>2.482868405094</v>
      </c>
      <c r="F951">
        <v>1.79093389933293</v>
      </c>
      <c r="G951">
        <v>1.49209116636345</v>
      </c>
      <c r="H951">
        <v>1.27458560743885</v>
      </c>
      <c r="I951">
        <v>1.7908833636547401</v>
      </c>
      <c r="J951">
        <v>2.01599454214676</v>
      </c>
      <c r="K951">
        <v>1.8630735799474401</v>
      </c>
      <c r="L951">
        <v>11041.484707838399</v>
      </c>
      <c r="M951">
        <v>250</v>
      </c>
      <c r="O951">
        <v>44.163112087477799</v>
      </c>
      <c r="P951">
        <v>0.70760411267665402</v>
      </c>
      <c r="Q951">
        <v>1.5</v>
      </c>
      <c r="R951">
        <v>0.14322543224732201</v>
      </c>
      <c r="S951" t="s">
        <v>2825</v>
      </c>
      <c r="T951" t="s">
        <v>3746</v>
      </c>
      <c r="U951" t="s">
        <v>3746</v>
      </c>
      <c r="V951" t="s">
        <v>3746</v>
      </c>
      <c r="W951" t="s">
        <v>4687</v>
      </c>
      <c r="X951">
        <v>2</v>
      </c>
      <c r="Y951" t="s">
        <v>6487</v>
      </c>
      <c r="Z951" t="s">
        <v>8339</v>
      </c>
      <c r="AA951">
        <v>1.4305289308764519</v>
      </c>
      <c r="AB951" t="str">
        <f>HYPERLINK("Melting_Curves/meltCurve_P10809_HSPD1.pdf", "Melting_Curves/meltCurve_P10809_HSPD1.pdf")</f>
        <v>Melting_Curves/meltCurve_P10809_HSPD1.pdf</v>
      </c>
    </row>
    <row r="952" spans="1:28" x14ac:dyDescent="0.25">
      <c r="A952" t="s">
        <v>956</v>
      </c>
      <c r="B952">
        <v>1</v>
      </c>
      <c r="C952">
        <v>0.97480262052746502</v>
      </c>
      <c r="D952">
        <v>1.3383504115572</v>
      </c>
      <c r="E952">
        <v>1.62875860910465</v>
      </c>
      <c r="F952">
        <v>1.1184276835209099</v>
      </c>
      <c r="G952">
        <v>1.1831009575004201</v>
      </c>
      <c r="H952">
        <v>0.71352259365026005</v>
      </c>
      <c r="I952">
        <v>1.19435578699815</v>
      </c>
      <c r="J952">
        <v>1.22267764152528</v>
      </c>
      <c r="K952">
        <v>1.1185284730388001</v>
      </c>
      <c r="L952">
        <v>11061.2048491361</v>
      </c>
      <c r="M952">
        <v>250</v>
      </c>
      <c r="O952">
        <v>44.2419901225595</v>
      </c>
      <c r="P952">
        <v>0.26801856035834798</v>
      </c>
      <c r="Q952">
        <v>1.18972278277518</v>
      </c>
      <c r="R952">
        <v>0.125625217617234</v>
      </c>
      <c r="S952" t="s">
        <v>2826</v>
      </c>
      <c r="T952" t="s">
        <v>3746</v>
      </c>
      <c r="U952" t="s">
        <v>3746</v>
      </c>
      <c r="V952" t="s">
        <v>3746</v>
      </c>
      <c r="W952" t="s">
        <v>4688</v>
      </c>
      <c r="X952">
        <v>18</v>
      </c>
      <c r="Y952" t="s">
        <v>6488</v>
      </c>
      <c r="Z952" t="s">
        <v>8340</v>
      </c>
      <c r="AA952">
        <v>1.1628634193869329</v>
      </c>
      <c r="AB952" t="str">
        <f>HYPERLINK("Melting_Curves/meltCurve_P10909_4_CLU.pdf", "Melting_Curves/meltCurve_P10909_4_CLU.pdf")</f>
        <v>Melting_Curves/meltCurve_P10909_4_CLU.pdf</v>
      </c>
    </row>
    <row r="953" spans="1:28" x14ac:dyDescent="0.25">
      <c r="A953" t="s">
        <v>957</v>
      </c>
      <c r="B953">
        <v>1</v>
      </c>
      <c r="C953">
        <v>1.12520925936616</v>
      </c>
      <c r="D953">
        <v>2.0402932517462302</v>
      </c>
      <c r="E953">
        <v>3.1925763435894501</v>
      </c>
      <c r="F953">
        <v>2.2550943831899799</v>
      </c>
      <c r="G953">
        <v>2.5991456445188499</v>
      </c>
      <c r="H953">
        <v>1.7167638399815299</v>
      </c>
      <c r="I953">
        <v>2.6008485828089798</v>
      </c>
      <c r="J953">
        <v>2.6899786411129698</v>
      </c>
      <c r="K953">
        <v>2.50822605784218</v>
      </c>
      <c r="L953">
        <v>10772.0345990269</v>
      </c>
      <c r="M953">
        <v>250</v>
      </c>
      <c r="O953">
        <v>43.0853811351624</v>
      </c>
      <c r="P953">
        <v>0.72530401917196297</v>
      </c>
      <c r="Q953">
        <v>1.5</v>
      </c>
      <c r="R953">
        <v>-0.92120126183601403</v>
      </c>
      <c r="S953" t="s">
        <v>2827</v>
      </c>
      <c r="T953" t="s">
        <v>3746</v>
      </c>
      <c r="U953" t="s">
        <v>3746</v>
      </c>
      <c r="V953" t="s">
        <v>3746</v>
      </c>
      <c r="W953" t="s">
        <v>4689</v>
      </c>
      <c r="X953">
        <v>22</v>
      </c>
      <c r="Y953" t="s">
        <v>6489</v>
      </c>
      <c r="Z953" t="s">
        <v>8341</v>
      </c>
      <c r="AA953">
        <v>1.4484932172152061</v>
      </c>
      <c r="AB953" t="str">
        <f>HYPERLINK("Melting_Curves/meltCurve_P11021_HSPA5.pdf", "Melting_Curves/meltCurve_P11021_HSPA5.pdf")</f>
        <v>Melting_Curves/meltCurve_P11021_HSPA5.pdf</v>
      </c>
    </row>
    <row r="954" spans="1:28" x14ac:dyDescent="0.25">
      <c r="A954" t="s">
        <v>958</v>
      </c>
      <c r="B954">
        <v>1</v>
      </c>
      <c r="C954">
        <v>1.02350186710924</v>
      </c>
      <c r="D954">
        <v>1.75114101120266</v>
      </c>
      <c r="E954">
        <v>2.3357536601268398</v>
      </c>
      <c r="F954">
        <v>1.78637899353921</v>
      </c>
      <c r="G954">
        <v>1.73380356825322</v>
      </c>
      <c r="H954">
        <v>1.1702625807598801</v>
      </c>
      <c r="I954">
        <v>1.92641218659238</v>
      </c>
      <c r="J954">
        <v>2.0132475846126501</v>
      </c>
      <c r="K954">
        <v>1.7475846126489201</v>
      </c>
      <c r="L954">
        <v>10854.094583427201</v>
      </c>
      <c r="M954">
        <v>250</v>
      </c>
      <c r="O954">
        <v>43.413599997623997</v>
      </c>
      <c r="P954">
        <v>0.71982051835659999</v>
      </c>
      <c r="Q954">
        <v>1.5</v>
      </c>
      <c r="R954">
        <v>0.14448450451498299</v>
      </c>
      <c r="S954" t="s">
        <v>2828</v>
      </c>
      <c r="T954" t="s">
        <v>3746</v>
      </c>
      <c r="U954" t="s">
        <v>3746</v>
      </c>
      <c r="V954" t="s">
        <v>3746</v>
      </c>
      <c r="W954" t="s">
        <v>4690</v>
      </c>
      <c r="X954">
        <v>10</v>
      </c>
      <c r="Y954" t="s">
        <v>6490</v>
      </c>
      <c r="Z954" t="s">
        <v>8342</v>
      </c>
      <c r="AA954">
        <v>1.443022263569433</v>
      </c>
      <c r="AB954" t="str">
        <f>HYPERLINK("Melting_Curves/meltCurve_P11047_LAMC1.pdf", "Melting_Curves/meltCurve_P11047_LAMC1.pdf")</f>
        <v>Melting_Curves/meltCurve_P11047_LAMC1.pdf</v>
      </c>
    </row>
    <row r="955" spans="1:28" x14ac:dyDescent="0.25">
      <c r="A955" t="s">
        <v>959</v>
      </c>
      <c r="B955">
        <v>1</v>
      </c>
      <c r="C955">
        <v>1.03369963369963</v>
      </c>
      <c r="D955">
        <v>1.68080586080586</v>
      </c>
      <c r="E955">
        <v>2.4045054945054898</v>
      </c>
      <c r="F955">
        <v>1.7118681318681299</v>
      </c>
      <c r="G955">
        <v>2.0594505494505499</v>
      </c>
      <c r="H955">
        <v>1.43703296703297</v>
      </c>
      <c r="I955">
        <v>2.28318681318681</v>
      </c>
      <c r="J955">
        <v>2.5088644688644699</v>
      </c>
      <c r="K955">
        <v>2.2778021978021998</v>
      </c>
      <c r="L955">
        <v>10837.710980844</v>
      </c>
      <c r="M955">
        <v>250</v>
      </c>
      <c r="O955">
        <v>43.3480709308432</v>
      </c>
      <c r="P955">
        <v>0.72090868662724095</v>
      </c>
      <c r="Q955">
        <v>1.5</v>
      </c>
      <c r="R955">
        <v>-0.24860025296687199</v>
      </c>
      <c r="S955" t="s">
        <v>2829</v>
      </c>
      <c r="T955" t="s">
        <v>3746</v>
      </c>
      <c r="U955" t="s">
        <v>3746</v>
      </c>
      <c r="V955" t="s">
        <v>3746</v>
      </c>
      <c r="W955" t="s">
        <v>4691</v>
      </c>
      <c r="X955">
        <v>22</v>
      </c>
      <c r="Y955" t="s">
        <v>6491</v>
      </c>
      <c r="Z955" t="s">
        <v>8343</v>
      </c>
      <c r="AA955">
        <v>1.4441145612469131</v>
      </c>
      <c r="AB955" t="str">
        <f>HYPERLINK("Melting_Curves/meltCurve_P11142_HSPA8.pdf", "Melting_Curves/meltCurve_P11142_HSPA8.pdf")</f>
        <v>Melting_Curves/meltCurve_P11142_HSPA8.pdf</v>
      </c>
    </row>
    <row r="956" spans="1:28" x14ac:dyDescent="0.25">
      <c r="A956" t="s">
        <v>960</v>
      </c>
      <c r="B956">
        <v>1</v>
      </c>
      <c r="C956">
        <v>0.85599199527926695</v>
      </c>
      <c r="D956">
        <v>1.3818662288015999</v>
      </c>
      <c r="E956">
        <v>1.87741488570182</v>
      </c>
      <c r="F956">
        <v>1.1051132719296</v>
      </c>
      <c r="G956">
        <v>1.2452985093773301</v>
      </c>
      <c r="H956">
        <v>0.73574159119480698</v>
      </c>
      <c r="I956">
        <v>1.653795828309</v>
      </c>
      <c r="J956">
        <v>1.2244143982348601</v>
      </c>
      <c r="K956">
        <v>0.87828719501244301</v>
      </c>
      <c r="L956">
        <v>11103.6715556739</v>
      </c>
      <c r="M956">
        <v>250</v>
      </c>
      <c r="O956">
        <v>44.411843991023296</v>
      </c>
      <c r="P956">
        <v>0.36975229293623602</v>
      </c>
      <c r="Q956">
        <v>1.2627420979985899</v>
      </c>
      <c r="R956">
        <v>0.142318070838894</v>
      </c>
      <c r="S956" t="s">
        <v>2830</v>
      </c>
      <c r="T956" t="s">
        <v>3746</v>
      </c>
      <c r="U956" t="s">
        <v>3746</v>
      </c>
      <c r="V956" t="s">
        <v>3746</v>
      </c>
      <c r="W956" t="s">
        <v>4692</v>
      </c>
      <c r="X956">
        <v>1</v>
      </c>
      <c r="Y956" t="s">
        <v>6492</v>
      </c>
      <c r="Z956" t="s">
        <v>8344</v>
      </c>
      <c r="AA956">
        <v>1.2240574873465639</v>
      </c>
      <c r="AB956" t="str">
        <f>HYPERLINK("Melting_Curves/meltCurve_P11172_2_UMPS.pdf", "Melting_Curves/meltCurve_P11172_2_UMPS.pdf")</f>
        <v>Melting_Curves/meltCurve_P11172_2_UMPS.pdf</v>
      </c>
    </row>
    <row r="957" spans="1:28" x14ac:dyDescent="0.25">
      <c r="A957" t="s">
        <v>961</v>
      </c>
      <c r="B957">
        <v>1</v>
      </c>
      <c r="C957">
        <v>1.1075792810273599</v>
      </c>
      <c r="D957">
        <v>1.61006028468591</v>
      </c>
      <c r="E957">
        <v>2.33954942011168</v>
      </c>
      <c r="F957">
        <v>2.14136536667012</v>
      </c>
      <c r="G957">
        <v>2.6362330217883998</v>
      </c>
      <c r="H957">
        <v>1.9120761927332499</v>
      </c>
      <c r="I957">
        <v>2.8489327981277701</v>
      </c>
      <c r="J957">
        <v>2.84093433857183</v>
      </c>
      <c r="K957">
        <v>2.6880748892805801</v>
      </c>
      <c r="L957">
        <v>10780.5171202481</v>
      </c>
      <c r="M957">
        <v>250</v>
      </c>
      <c r="O957">
        <v>43.119308959648997</v>
      </c>
      <c r="P957">
        <v>0.72473332236165999</v>
      </c>
      <c r="Q957">
        <v>1.5</v>
      </c>
      <c r="R957">
        <v>-0.78372457031506104</v>
      </c>
      <c r="S957" t="s">
        <v>2831</v>
      </c>
      <c r="T957" t="s">
        <v>3746</v>
      </c>
      <c r="U957" t="s">
        <v>3746</v>
      </c>
      <c r="V957" t="s">
        <v>3746</v>
      </c>
      <c r="W957" t="s">
        <v>4693</v>
      </c>
      <c r="X957">
        <v>14</v>
      </c>
      <c r="Y957" t="s">
        <v>6493</v>
      </c>
      <c r="Z957" t="s">
        <v>8345</v>
      </c>
      <c r="AA957">
        <v>1.447927686029028</v>
      </c>
      <c r="AB957" t="str">
        <f>HYPERLINK("Melting_Curves/meltCurve_P11216_PYGB.pdf", "Melting_Curves/meltCurve_P11216_PYGB.pdf")</f>
        <v>Melting_Curves/meltCurve_P11216_PYGB.pdf</v>
      </c>
    </row>
    <row r="958" spans="1:28" x14ac:dyDescent="0.25">
      <c r="A958" t="s">
        <v>962</v>
      </c>
      <c r="B958">
        <v>1</v>
      </c>
      <c r="C958">
        <v>0.98657937806873997</v>
      </c>
      <c r="D958">
        <v>1.2495090016366599</v>
      </c>
      <c r="E958">
        <v>1.4059738134206201</v>
      </c>
      <c r="F958">
        <v>0.96440261865793797</v>
      </c>
      <c r="G958">
        <v>1.06153846153846</v>
      </c>
      <c r="H958">
        <v>0.66972995090016396</v>
      </c>
      <c r="I958">
        <v>1.03960720130933</v>
      </c>
      <c r="J958">
        <v>1.00875613747954</v>
      </c>
      <c r="K958">
        <v>0.83281505728314198</v>
      </c>
      <c r="L958">
        <v>762.12087549444402</v>
      </c>
      <c r="M958">
        <v>8.9640183866670693</v>
      </c>
      <c r="Q958">
        <v>0</v>
      </c>
      <c r="R958">
        <v>5.9515080235353103E-2</v>
      </c>
      <c r="S958" t="s">
        <v>2832</v>
      </c>
      <c r="T958" t="s">
        <v>3746</v>
      </c>
      <c r="U958" t="s">
        <v>3746</v>
      </c>
      <c r="V958" t="s">
        <v>3746</v>
      </c>
      <c r="W958" t="s">
        <v>4694</v>
      </c>
      <c r="X958">
        <v>2</v>
      </c>
      <c r="Y958" t="s">
        <v>6494</v>
      </c>
      <c r="Z958" t="s">
        <v>8346</v>
      </c>
      <c r="AA958">
        <v>0.97517619756830443</v>
      </c>
      <c r="AB958" t="str">
        <f>HYPERLINK("Melting_Curves/meltCurve_P11279_LAMP1.pdf", "Melting_Curves/meltCurve_P11279_LAMP1.pdf")</f>
        <v>Melting_Curves/meltCurve_P11279_LAMP1.pdf</v>
      </c>
    </row>
    <row r="959" spans="1:28" x14ac:dyDescent="0.25">
      <c r="A959" t="s">
        <v>963</v>
      </c>
      <c r="B959">
        <v>1</v>
      </c>
      <c r="C959">
        <v>1.0621139932945101</v>
      </c>
      <c r="D959">
        <v>1.24298570672313</v>
      </c>
      <c r="E959">
        <v>1.58681842244574</v>
      </c>
      <c r="F959">
        <v>1.3276866066702</v>
      </c>
      <c r="G959">
        <v>1.4780307040762299</v>
      </c>
      <c r="H959">
        <v>1.0658196576672001</v>
      </c>
      <c r="I959">
        <v>2.3565378507146599</v>
      </c>
      <c r="J959">
        <v>3.10428798305982</v>
      </c>
      <c r="K959">
        <v>3.0892888653608601</v>
      </c>
      <c r="L959">
        <v>2822.5242940602302</v>
      </c>
      <c r="M959">
        <v>61.3434894014798</v>
      </c>
      <c r="O959">
        <v>45.962980546197699</v>
      </c>
      <c r="P959">
        <v>0.16682860287269299</v>
      </c>
      <c r="Q959">
        <v>1.5</v>
      </c>
      <c r="R959">
        <v>-5.1834544695472697E-3</v>
      </c>
      <c r="S959" t="s">
        <v>2833</v>
      </c>
      <c r="T959" t="s">
        <v>3746</v>
      </c>
      <c r="U959" t="s">
        <v>3746</v>
      </c>
      <c r="V959" t="s">
        <v>3746</v>
      </c>
      <c r="W959" t="s">
        <v>4695</v>
      </c>
      <c r="X959">
        <v>5</v>
      </c>
      <c r="Y959" t="s">
        <v>6495</v>
      </c>
      <c r="Z959" t="s">
        <v>8347</v>
      </c>
      <c r="AA959">
        <v>1.3991295203760361</v>
      </c>
      <c r="AB959" t="str">
        <f>HYPERLINK("Melting_Curves/meltCurve_P11413_G6PD.pdf", "Melting_Curves/meltCurve_P11413_G6PD.pdf")</f>
        <v>Melting_Curves/meltCurve_P11413_G6PD.pdf</v>
      </c>
    </row>
    <row r="960" spans="1:28" x14ac:dyDescent="0.25">
      <c r="A960" t="s">
        <v>964</v>
      </c>
      <c r="B960">
        <v>1</v>
      </c>
      <c r="C960">
        <v>0.78334910122989598</v>
      </c>
      <c r="D960">
        <v>1.16801157549112</v>
      </c>
      <c r="E960">
        <v>1.47743335744894</v>
      </c>
      <c r="F960">
        <v>1.1205409316044299</v>
      </c>
      <c r="G960">
        <v>1.2686293060270499</v>
      </c>
      <c r="H960">
        <v>0.82380766876286904</v>
      </c>
      <c r="I960">
        <v>1.2178752295620201</v>
      </c>
      <c r="J960">
        <v>1.2411931660081299</v>
      </c>
      <c r="K960">
        <v>1.1656742167065499</v>
      </c>
      <c r="L960">
        <v>11401.79350871</v>
      </c>
      <c r="M960">
        <v>250</v>
      </c>
      <c r="O960">
        <v>45.6042584268789</v>
      </c>
      <c r="P960">
        <v>0.25748579163775498</v>
      </c>
      <c r="Q960">
        <v>1.1878791649736899</v>
      </c>
      <c r="R960">
        <v>0.29200336186200798</v>
      </c>
      <c r="S960" t="s">
        <v>2834</v>
      </c>
      <c r="T960" t="s">
        <v>3746</v>
      </c>
      <c r="U960" t="s">
        <v>3746</v>
      </c>
      <c r="V960" t="s">
        <v>3746</v>
      </c>
      <c r="W960" t="s">
        <v>4696</v>
      </c>
      <c r="X960">
        <v>2</v>
      </c>
      <c r="Y960" t="s">
        <v>6496</v>
      </c>
      <c r="Z960" t="s">
        <v>8348</v>
      </c>
      <c r="AA960">
        <v>1.1527484212968231</v>
      </c>
      <c r="AB960" t="str">
        <f>HYPERLINK("Melting_Curves/meltCurve_P11678_EPX.pdf", "Melting_Curves/meltCurve_P11678_EPX.pdf")</f>
        <v>Melting_Curves/meltCurve_P11678_EPX.pdf</v>
      </c>
    </row>
    <row r="961" spans="1:28" x14ac:dyDescent="0.25">
      <c r="A961" t="s">
        <v>965</v>
      </c>
      <c r="B961">
        <v>1</v>
      </c>
      <c r="C961">
        <v>1.04513993379476</v>
      </c>
      <c r="D961">
        <v>1.5299428227505301</v>
      </c>
      <c r="E961">
        <v>1.8640786437957699</v>
      </c>
      <c r="F961">
        <v>1.2593038419099201</v>
      </c>
      <c r="G961">
        <v>1.3356906409870599</v>
      </c>
      <c r="H961">
        <v>0.82039321897883399</v>
      </c>
      <c r="I961">
        <v>1.2375865182064401</v>
      </c>
      <c r="J961">
        <v>1.2785133915136899</v>
      </c>
      <c r="K961">
        <v>1.1757448089076099</v>
      </c>
      <c r="L961">
        <v>10801.3364443013</v>
      </c>
      <c r="M961">
        <v>250</v>
      </c>
      <c r="O961">
        <v>43.202587357773801</v>
      </c>
      <c r="P961">
        <v>0.452311998916409</v>
      </c>
      <c r="Q961">
        <v>1.3126567315019899</v>
      </c>
      <c r="R961">
        <v>0.178926309252082</v>
      </c>
      <c r="S961" t="s">
        <v>2835</v>
      </c>
      <c r="T961" t="s">
        <v>3746</v>
      </c>
      <c r="U961" t="s">
        <v>3746</v>
      </c>
      <c r="V961" t="s">
        <v>3746</v>
      </c>
      <c r="W961" t="s">
        <v>4697</v>
      </c>
      <c r="X961">
        <v>29</v>
      </c>
      <c r="Y961" t="s">
        <v>6497</v>
      </c>
      <c r="Z961" t="s">
        <v>8349</v>
      </c>
      <c r="AA961">
        <v>1.279227259925299</v>
      </c>
      <c r="AB961" t="str">
        <f>HYPERLINK("Melting_Curves/meltCurve_P11717_IGF2R.pdf", "Melting_Curves/meltCurve_P11717_IGF2R.pdf")</f>
        <v>Melting_Curves/meltCurve_P11717_IGF2R.pdf</v>
      </c>
    </row>
    <row r="962" spans="1:28" x14ac:dyDescent="0.25">
      <c r="A962" t="s">
        <v>966</v>
      </c>
      <c r="B962">
        <v>1</v>
      </c>
      <c r="C962">
        <v>1.16291203095847</v>
      </c>
      <c r="D962">
        <v>1.9386358924746001</v>
      </c>
      <c r="E962">
        <v>2.8860479579849398</v>
      </c>
      <c r="F962">
        <v>2.3734710800912202</v>
      </c>
      <c r="G962">
        <v>2.6001312970769099</v>
      </c>
      <c r="H962">
        <v>1.80782254163499</v>
      </c>
      <c r="I962">
        <v>2.6657107318084399</v>
      </c>
      <c r="J962">
        <v>2.8050583926473598</v>
      </c>
      <c r="K962">
        <v>2.5890747011263899</v>
      </c>
      <c r="L962">
        <v>10756.193960836399</v>
      </c>
      <c r="M962">
        <v>250</v>
      </c>
      <c r="O962">
        <v>43.022022799778</v>
      </c>
      <c r="P962">
        <v>0.72637217381700603</v>
      </c>
      <c r="Q962">
        <v>1.5</v>
      </c>
      <c r="R962">
        <v>-1.04110297405861</v>
      </c>
      <c r="S962" t="s">
        <v>2836</v>
      </c>
      <c r="T962" t="s">
        <v>3746</v>
      </c>
      <c r="U962" t="s">
        <v>3746</v>
      </c>
      <c r="V962" t="s">
        <v>3746</v>
      </c>
      <c r="W962" t="s">
        <v>4698</v>
      </c>
      <c r="X962">
        <v>6</v>
      </c>
      <c r="Y962" t="s">
        <v>6498</v>
      </c>
      <c r="Z962" t="s">
        <v>8350</v>
      </c>
      <c r="AA962">
        <v>1.449549315356413</v>
      </c>
      <c r="AB962" t="str">
        <f>HYPERLINK("Melting_Curves/meltCurve_P11766_ADH5.pdf", "Melting_Curves/meltCurve_P11766_ADH5.pdf")</f>
        <v>Melting_Curves/meltCurve_P11766_ADH5.pdf</v>
      </c>
    </row>
    <row r="963" spans="1:28" x14ac:dyDescent="0.25">
      <c r="A963" t="s">
        <v>967</v>
      </c>
      <c r="B963">
        <v>1</v>
      </c>
      <c r="C963">
        <v>1.0483468184996501</v>
      </c>
      <c r="D963">
        <v>1.5712716012386401</v>
      </c>
      <c r="E963">
        <v>2.0179802217560701</v>
      </c>
      <c r="F963">
        <v>1.3402257516731599</v>
      </c>
      <c r="G963">
        <v>1.6056338028168999</v>
      </c>
      <c r="H963">
        <v>1.13784836679652</v>
      </c>
      <c r="I963">
        <v>1.81800019978024</v>
      </c>
      <c r="J963">
        <v>1.87264009589452</v>
      </c>
      <c r="K963">
        <v>1.7054240335630799</v>
      </c>
      <c r="L963">
        <v>10820.8603705318</v>
      </c>
      <c r="M963">
        <v>250</v>
      </c>
      <c r="O963">
        <v>43.280670329512297</v>
      </c>
      <c r="P963">
        <v>0.72203131005179599</v>
      </c>
      <c r="Q963">
        <v>1.5</v>
      </c>
      <c r="R963">
        <v>0.38486841047112103</v>
      </c>
      <c r="S963" t="s">
        <v>2837</v>
      </c>
      <c r="T963" t="s">
        <v>3746</v>
      </c>
      <c r="U963" t="s">
        <v>3746</v>
      </c>
      <c r="V963" t="s">
        <v>3746</v>
      </c>
      <c r="W963" t="s">
        <v>4699</v>
      </c>
      <c r="X963">
        <v>10</v>
      </c>
      <c r="Y963" t="s">
        <v>6499</v>
      </c>
      <c r="Z963" t="s">
        <v>8351</v>
      </c>
      <c r="AA963">
        <v>1.445237994411807</v>
      </c>
      <c r="AB963" t="str">
        <f>HYPERLINK("Melting_Curves/meltCurve_P11908_PRPS2.pdf", "Melting_Curves/meltCurve_P11908_PRPS2.pdf")</f>
        <v>Melting_Curves/meltCurve_P11908_PRPS2.pdf</v>
      </c>
    </row>
    <row r="964" spans="1:28" x14ac:dyDescent="0.25">
      <c r="A964" t="s">
        <v>968</v>
      </c>
      <c r="B964">
        <v>1</v>
      </c>
      <c r="C964">
        <v>1.0909747124295599</v>
      </c>
      <c r="D964">
        <v>1.35980067992363</v>
      </c>
      <c r="E964">
        <v>1.7412797466585901</v>
      </c>
      <c r="F964">
        <v>1.4714990918828299</v>
      </c>
      <c r="G964">
        <v>1.8745634052065401</v>
      </c>
      <c r="H964">
        <v>1.3365621943836401</v>
      </c>
      <c r="I964">
        <v>2.21259255809621</v>
      </c>
      <c r="J964">
        <v>2.2400922088203798</v>
      </c>
      <c r="K964">
        <v>2.05516229683789</v>
      </c>
      <c r="L964">
        <v>1958.4210505630199</v>
      </c>
      <c r="M964">
        <v>43.817804590102099</v>
      </c>
      <c r="O964">
        <v>44.601846998741202</v>
      </c>
      <c r="P964">
        <v>0.122802833160271</v>
      </c>
      <c r="Q964">
        <v>1.5</v>
      </c>
      <c r="R964">
        <v>0.13195587457876701</v>
      </c>
      <c r="S964" t="s">
        <v>2838</v>
      </c>
      <c r="T964" t="s">
        <v>3746</v>
      </c>
      <c r="U964" t="s">
        <v>3746</v>
      </c>
      <c r="V964" t="s">
        <v>3746</v>
      </c>
      <c r="W964" t="s">
        <v>4700</v>
      </c>
      <c r="X964">
        <v>7</v>
      </c>
      <c r="Y964" t="s">
        <v>6500</v>
      </c>
      <c r="Z964" t="s">
        <v>8352</v>
      </c>
      <c r="AA964">
        <v>1.420394011355995</v>
      </c>
      <c r="AB964" t="str">
        <f>HYPERLINK("Melting_Curves/meltCurve_P11940_2_PABPC1.pdf", "Melting_Curves/meltCurve_P11940_2_PABPC1.pdf")</f>
        <v>Melting_Curves/meltCurve_P11940_2_PABPC1.pdf</v>
      </c>
    </row>
    <row r="965" spans="1:28" x14ac:dyDescent="0.25">
      <c r="A965" t="s">
        <v>969</v>
      </c>
      <c r="B965">
        <v>1</v>
      </c>
      <c r="C965">
        <v>1.06360527601368</v>
      </c>
      <c r="D965">
        <v>1.1906204201270101</v>
      </c>
      <c r="E965">
        <v>1.4271617000488499</v>
      </c>
      <c r="F965">
        <v>1.19452857840743</v>
      </c>
      <c r="G965">
        <v>1.6502198339032701</v>
      </c>
      <c r="H965">
        <v>0.78593063019052301</v>
      </c>
      <c r="I965">
        <v>1.0602833414753301</v>
      </c>
      <c r="J965">
        <v>1.2185637518319501</v>
      </c>
      <c r="K965">
        <v>1.01670737664875</v>
      </c>
      <c r="L965">
        <v>3547.2533343535802</v>
      </c>
      <c r="M965">
        <v>81.974418569582994</v>
      </c>
      <c r="O965">
        <v>43.2469328287766</v>
      </c>
      <c r="P965">
        <v>9.1547458896956202E-2</v>
      </c>
      <c r="Q965">
        <v>1.19318945316146</v>
      </c>
      <c r="R965">
        <v>8.3443825528127097E-2</v>
      </c>
      <c r="S965" t="s">
        <v>2839</v>
      </c>
      <c r="T965" t="s">
        <v>3746</v>
      </c>
      <c r="U965" t="s">
        <v>3746</v>
      </c>
      <c r="V965" t="s">
        <v>3746</v>
      </c>
      <c r="W965" t="s">
        <v>4701</v>
      </c>
      <c r="X965">
        <v>2</v>
      </c>
      <c r="Y965" t="s">
        <v>6501</v>
      </c>
      <c r="Z965" t="s">
        <v>8353</v>
      </c>
      <c r="AA965">
        <v>1.1719743220728751</v>
      </c>
      <c r="AB965" t="str">
        <f>HYPERLINK("Melting_Curves/meltCurve_P12109_COL6A1.pdf", "Melting_Curves/meltCurve_P12109_COL6A1.pdf")</f>
        <v>Melting_Curves/meltCurve_P12109_COL6A1.pdf</v>
      </c>
    </row>
    <row r="966" spans="1:28" x14ac:dyDescent="0.25">
      <c r="A966" t="s">
        <v>970</v>
      </c>
      <c r="B966">
        <v>1</v>
      </c>
      <c r="C966">
        <v>0.90399301548434996</v>
      </c>
      <c r="D966">
        <v>1.1702074280725301</v>
      </c>
      <c r="E966">
        <v>1.3491354654838501</v>
      </c>
      <c r="F966">
        <v>1.0735682244678799</v>
      </c>
      <c r="G966">
        <v>1.1798412427620999</v>
      </c>
      <c r="H966">
        <v>0.59097431986271798</v>
      </c>
      <c r="I966">
        <v>0.92563899286495599</v>
      </c>
      <c r="J966">
        <v>1.0416562133087099</v>
      </c>
      <c r="K966">
        <v>0.91230218065409596</v>
      </c>
      <c r="L966">
        <v>2204.8469965583299</v>
      </c>
      <c r="M966">
        <v>37.683823442468601</v>
      </c>
      <c r="O966">
        <v>58.3450771966601</v>
      </c>
      <c r="P966">
        <v>-1.7837896239214099E-2</v>
      </c>
      <c r="Q966">
        <v>0.889528126695458</v>
      </c>
      <c r="R966">
        <v>0.11241914554348099</v>
      </c>
      <c r="S966" t="s">
        <v>2840</v>
      </c>
      <c r="T966" t="s">
        <v>3746</v>
      </c>
      <c r="U966" t="s">
        <v>3746</v>
      </c>
      <c r="V966" t="s">
        <v>3746</v>
      </c>
      <c r="W966" t="s">
        <v>4702</v>
      </c>
      <c r="X966">
        <v>2</v>
      </c>
      <c r="Y966" t="s">
        <v>6502</v>
      </c>
      <c r="Z966" t="s">
        <v>8354</v>
      </c>
      <c r="AA966">
        <v>0.95817209488283717</v>
      </c>
      <c r="AB966" t="str">
        <f>HYPERLINK("Melting_Curves/meltCurve_P12259_F5.pdf", "Melting_Curves/meltCurve_P12259_F5.pdf")</f>
        <v>Melting_Curves/meltCurve_P12259_F5.pdf</v>
      </c>
    </row>
    <row r="967" spans="1:28" x14ac:dyDescent="0.25">
      <c r="A967" t="s">
        <v>971</v>
      </c>
      <c r="B967">
        <v>1</v>
      </c>
      <c r="C967">
        <v>0.91292156710024097</v>
      </c>
      <c r="D967">
        <v>1.0781213490147199</v>
      </c>
      <c r="E967">
        <v>1.0717345587662599</v>
      </c>
      <c r="F967">
        <v>0.79211776618116703</v>
      </c>
      <c r="G967">
        <v>0.82763455097749095</v>
      </c>
      <c r="H967">
        <v>0.446319806838539</v>
      </c>
      <c r="I967">
        <v>0.65567411792195696</v>
      </c>
      <c r="J967">
        <v>0.69035750447854205</v>
      </c>
      <c r="K967">
        <v>0.67230313887374404</v>
      </c>
      <c r="L967">
        <v>1574.0747159407699</v>
      </c>
      <c r="M967">
        <v>28.948681208463299</v>
      </c>
      <c r="O967">
        <v>54.117171092956902</v>
      </c>
      <c r="P967">
        <v>-4.9350155649594801E-2</v>
      </c>
      <c r="Q967">
        <v>0.63097860271856199</v>
      </c>
      <c r="R967">
        <v>0.75734515563966098</v>
      </c>
      <c r="S967" t="s">
        <v>2841</v>
      </c>
      <c r="T967" t="s">
        <v>3746</v>
      </c>
      <c r="U967" t="s">
        <v>3746</v>
      </c>
      <c r="V967" t="s">
        <v>3746</v>
      </c>
      <c r="W967" t="s">
        <v>4703</v>
      </c>
      <c r="X967">
        <v>1</v>
      </c>
      <c r="Y967" t="s">
        <v>6503</v>
      </c>
      <c r="Z967" t="s">
        <v>8355</v>
      </c>
      <c r="AA967">
        <v>0.81040233751062418</v>
      </c>
      <c r="AB967" t="str">
        <f>HYPERLINK("Melting_Curves/meltCurve_P12273_PIP.pdf", "Melting_Curves/meltCurve_P12273_PIP.pdf")</f>
        <v>Melting_Curves/meltCurve_P12273_PIP.pdf</v>
      </c>
    </row>
    <row r="968" spans="1:28" x14ac:dyDescent="0.25">
      <c r="A968" t="s">
        <v>972</v>
      </c>
      <c r="B968">
        <v>1</v>
      </c>
      <c r="C968">
        <v>1.0483549247275701</v>
      </c>
      <c r="D968">
        <v>1.63900728578327</v>
      </c>
      <c r="E968">
        <v>2.9416087513385301</v>
      </c>
      <c r="F968">
        <v>2.6409389631931499</v>
      </c>
      <c r="G968">
        <v>2.9903206164570499</v>
      </c>
      <c r="H968">
        <v>2.0610578033468401</v>
      </c>
      <c r="I968">
        <v>3.0860646272072598</v>
      </c>
      <c r="J968">
        <v>3.3674176412539101</v>
      </c>
      <c r="K968">
        <v>3.0426018854851198</v>
      </c>
      <c r="L968">
        <v>10820.8521383351</v>
      </c>
      <c r="M968">
        <v>250</v>
      </c>
      <c r="O968">
        <v>43.280637143289198</v>
      </c>
      <c r="P968">
        <v>0.72203185934819702</v>
      </c>
      <c r="Q968">
        <v>1.5</v>
      </c>
      <c r="R968">
        <v>-1.0462531629882701</v>
      </c>
      <c r="S968" t="s">
        <v>2842</v>
      </c>
      <c r="T968" t="s">
        <v>3746</v>
      </c>
      <c r="U968" t="s">
        <v>3746</v>
      </c>
      <c r="V968" t="s">
        <v>3746</v>
      </c>
      <c r="W968" t="s">
        <v>4704</v>
      </c>
      <c r="X968">
        <v>27</v>
      </c>
      <c r="Y968" t="s">
        <v>6504</v>
      </c>
      <c r="Z968" t="s">
        <v>8356</v>
      </c>
      <c r="AA968">
        <v>1.4452385432538151</v>
      </c>
      <c r="AB968" t="str">
        <f>HYPERLINK("Melting_Curves/meltCurve_P12814_2_ACTN1.pdf", "Melting_Curves/meltCurve_P12814_2_ACTN1.pdf")</f>
        <v>Melting_Curves/meltCurve_P12814_2_ACTN1.pdf</v>
      </c>
    </row>
    <row r="969" spans="1:28" x14ac:dyDescent="0.25">
      <c r="A969" t="s">
        <v>973</v>
      </c>
      <c r="B969">
        <v>1</v>
      </c>
      <c r="C969">
        <v>0.93006118529766402</v>
      </c>
      <c r="D969">
        <v>1.4462507257380199</v>
      </c>
      <c r="E969">
        <v>1.8259568576660301</v>
      </c>
      <c r="F969">
        <v>1.2692153097226599</v>
      </c>
      <c r="G969">
        <v>1.45098477066679</v>
      </c>
      <c r="H969">
        <v>1.09691393863606</v>
      </c>
      <c r="I969">
        <v>1.5872448751730599</v>
      </c>
      <c r="J969">
        <v>1.6452592559510499</v>
      </c>
      <c r="K969">
        <v>1.4865794292349599</v>
      </c>
      <c r="L969">
        <v>11381.649596343999</v>
      </c>
      <c r="M969">
        <v>250</v>
      </c>
      <c r="O969">
        <v>45.523684647262201</v>
      </c>
      <c r="P969">
        <v>0.65942021329884004</v>
      </c>
      <c r="Q969">
        <v>1.4803078084453101</v>
      </c>
      <c r="R969">
        <v>0.53947389994975403</v>
      </c>
      <c r="S969" t="s">
        <v>2843</v>
      </c>
      <c r="T969" t="s">
        <v>3746</v>
      </c>
      <c r="U969" t="s">
        <v>3746</v>
      </c>
      <c r="V969" t="s">
        <v>3746</v>
      </c>
      <c r="W969" t="s">
        <v>4705</v>
      </c>
      <c r="X969">
        <v>22</v>
      </c>
      <c r="Y969" t="s">
        <v>6505</v>
      </c>
      <c r="Z969" t="s">
        <v>8357</v>
      </c>
      <c r="AA969">
        <v>1.3917871539642681</v>
      </c>
      <c r="AB969" t="str">
        <f>HYPERLINK("Melting_Curves/meltCurve_P12821_ACE.pdf", "Melting_Curves/meltCurve_P12821_ACE.pdf")</f>
        <v>Melting_Curves/meltCurve_P12821_ACE.pdf</v>
      </c>
    </row>
    <row r="970" spans="1:28" x14ac:dyDescent="0.25">
      <c r="A970" t="s">
        <v>974</v>
      </c>
      <c r="B970">
        <v>1</v>
      </c>
      <c r="C970">
        <v>1.2483469467133399</v>
      </c>
      <c r="D970">
        <v>1.9094091439482299</v>
      </c>
      <c r="E970">
        <v>2.25893709557654</v>
      </c>
      <c r="F970">
        <v>1.0609419751776801</v>
      </c>
      <c r="G970">
        <v>1.0184045825819501</v>
      </c>
      <c r="H970">
        <v>1.2089388635479701</v>
      </c>
      <c r="I970">
        <v>1.3009264170290999</v>
      </c>
      <c r="J970">
        <v>1.2129698384074099</v>
      </c>
      <c r="K970">
        <v>1.3827658145044399</v>
      </c>
      <c r="L970">
        <v>1.0000000000000001E-5</v>
      </c>
      <c r="M970">
        <v>0.946090018816934</v>
      </c>
      <c r="Q970">
        <v>1.5</v>
      </c>
      <c r="R970">
        <v>-1.8517132271966801E-9</v>
      </c>
      <c r="S970" t="s">
        <v>2844</v>
      </c>
      <c r="T970" t="s">
        <v>3746</v>
      </c>
      <c r="U970" t="s">
        <v>3746</v>
      </c>
      <c r="V970" t="s">
        <v>3746</v>
      </c>
      <c r="W970" t="s">
        <v>4706</v>
      </c>
      <c r="X970">
        <v>2</v>
      </c>
      <c r="Y970" t="s">
        <v>6506</v>
      </c>
      <c r="Z970" t="s">
        <v>8358</v>
      </c>
      <c r="AA970">
        <v>1.3601640661162671</v>
      </c>
      <c r="AB970" t="str">
        <f>HYPERLINK("Melting_Curves/meltCurve_P13284_IFI30.pdf", "Melting_Curves/meltCurve_P13284_IFI30.pdf")</f>
        <v>Melting_Curves/meltCurve_P13284_IFI30.pdf</v>
      </c>
    </row>
    <row r="971" spans="1:28" x14ac:dyDescent="0.25">
      <c r="A971" t="s">
        <v>975</v>
      </c>
      <c r="B971">
        <v>1</v>
      </c>
      <c r="C971">
        <v>1.0758377425044101</v>
      </c>
      <c r="D971">
        <v>1.69351994083177</v>
      </c>
      <c r="E971">
        <v>2.83188257381806</v>
      </c>
      <c r="F971">
        <v>2.3825453717926801</v>
      </c>
      <c r="G971">
        <v>2.8941230016498798</v>
      </c>
      <c r="H971">
        <v>1.9881663537577501</v>
      </c>
      <c r="I971">
        <v>2.87819309324686</v>
      </c>
      <c r="J971">
        <v>3.1885418444558198</v>
      </c>
      <c r="K971">
        <v>2.9211469534050201</v>
      </c>
      <c r="L971">
        <v>10798.852989056</v>
      </c>
      <c r="M971">
        <v>250</v>
      </c>
      <c r="O971">
        <v>43.192647764518398</v>
      </c>
      <c r="P971">
        <v>0.72350276434470995</v>
      </c>
      <c r="Q971">
        <v>1.5</v>
      </c>
      <c r="R971">
        <v>-0.98875213212184399</v>
      </c>
      <c r="S971" t="s">
        <v>2845</v>
      </c>
      <c r="T971" t="s">
        <v>3746</v>
      </c>
      <c r="U971" t="s">
        <v>3746</v>
      </c>
      <c r="V971" t="s">
        <v>3746</v>
      </c>
      <c r="W971" t="s">
        <v>4707</v>
      </c>
      <c r="X971">
        <v>6</v>
      </c>
      <c r="Y971" t="s">
        <v>6507</v>
      </c>
      <c r="Z971" t="s">
        <v>8359</v>
      </c>
      <c r="AA971">
        <v>1.4467052304198771</v>
      </c>
      <c r="AB971" t="str">
        <f>HYPERLINK("Melting_Curves/meltCurve_P13489_RNH1.pdf", "Melting_Curves/meltCurve_P13489_RNH1.pdf")</f>
        <v>Melting_Curves/meltCurve_P13489_RNH1.pdf</v>
      </c>
    </row>
    <row r="972" spans="1:28" x14ac:dyDescent="0.25">
      <c r="A972" t="s">
        <v>976</v>
      </c>
      <c r="B972">
        <v>1</v>
      </c>
      <c r="C972">
        <v>1.1168436243686199</v>
      </c>
      <c r="D972">
        <v>1.40294814967529</v>
      </c>
      <c r="E972">
        <v>1.7004432532728599</v>
      </c>
      <c r="F972">
        <v>1.2751262756416899</v>
      </c>
      <c r="G972">
        <v>1.4566539532006999</v>
      </c>
      <c r="H972">
        <v>0.82847129161942101</v>
      </c>
      <c r="I972">
        <v>1.4375837542521399</v>
      </c>
      <c r="J972">
        <v>1.4145448922791499</v>
      </c>
      <c r="K972">
        <v>1.1913720235027301</v>
      </c>
      <c r="L972">
        <v>10752.4477828073</v>
      </c>
      <c r="M972">
        <v>250</v>
      </c>
      <c r="O972">
        <v>43.007045650228399</v>
      </c>
      <c r="P972">
        <v>0.49176972093101101</v>
      </c>
      <c r="Q972">
        <v>1.3383929511578401</v>
      </c>
      <c r="R972">
        <v>0.226924798935637</v>
      </c>
      <c r="S972" t="s">
        <v>2846</v>
      </c>
      <c r="T972" t="s">
        <v>3746</v>
      </c>
      <c r="U972" t="s">
        <v>3746</v>
      </c>
      <c r="V972" t="s">
        <v>3746</v>
      </c>
      <c r="W972" t="s">
        <v>4708</v>
      </c>
      <c r="X972">
        <v>3</v>
      </c>
      <c r="Y972" t="s">
        <v>6508</v>
      </c>
      <c r="Z972" t="s">
        <v>8360</v>
      </c>
      <c r="AA972">
        <v>1.304417671958755</v>
      </c>
      <c r="AB972" t="str">
        <f>HYPERLINK("Melting_Curves/meltCurve_P13497_4_BMP1.pdf", "Melting_Curves/meltCurve_P13497_4_BMP1.pdf")</f>
        <v>Melting_Curves/meltCurve_P13497_4_BMP1.pdf</v>
      </c>
    </row>
    <row r="973" spans="1:28" x14ac:dyDescent="0.25">
      <c r="A973" t="s">
        <v>977</v>
      </c>
      <c r="B973">
        <v>1</v>
      </c>
      <c r="C973">
        <v>0.99330388444818396</v>
      </c>
      <c r="D973">
        <v>1.4231874912354501</v>
      </c>
      <c r="E973">
        <v>1.9126349740569299</v>
      </c>
      <c r="F973">
        <v>1.58420978824849</v>
      </c>
      <c r="G973">
        <v>2.02927359416632</v>
      </c>
      <c r="H973">
        <v>1.6921539755995001</v>
      </c>
      <c r="I973">
        <v>2.9584560370214601</v>
      </c>
      <c r="J973">
        <v>3.18040947973636</v>
      </c>
      <c r="K973">
        <v>2.8733697938577998</v>
      </c>
      <c r="L973">
        <v>11421.5023496514</v>
      </c>
      <c r="M973">
        <v>250</v>
      </c>
      <c r="O973">
        <v>45.683085832045201</v>
      </c>
      <c r="P973">
        <v>0.68406062093683995</v>
      </c>
      <c r="Q973">
        <v>1.5</v>
      </c>
      <c r="R973">
        <v>-0.28970574764155399</v>
      </c>
      <c r="S973" t="s">
        <v>2847</v>
      </c>
      <c r="T973" t="s">
        <v>3746</v>
      </c>
      <c r="U973" t="s">
        <v>3746</v>
      </c>
      <c r="V973" t="s">
        <v>3746</v>
      </c>
      <c r="W973" t="s">
        <v>4709</v>
      </c>
      <c r="X973">
        <v>23</v>
      </c>
      <c r="Y973" t="s">
        <v>6509</v>
      </c>
      <c r="Z973" t="s">
        <v>8361</v>
      </c>
      <c r="AA973">
        <v>1.4051930875721761</v>
      </c>
      <c r="AB973" t="str">
        <f>HYPERLINK("Melting_Curves/meltCurve_P13639_EEF2.pdf", "Melting_Curves/meltCurve_P13639_EEF2.pdf")</f>
        <v>Melting_Curves/meltCurve_P13639_EEF2.pdf</v>
      </c>
    </row>
    <row r="974" spans="1:28" x14ac:dyDescent="0.25">
      <c r="A974" t="s">
        <v>978</v>
      </c>
      <c r="B974">
        <v>1</v>
      </c>
      <c r="C974">
        <v>1.0549869743208</v>
      </c>
      <c r="D974">
        <v>1.6065314477112</v>
      </c>
      <c r="E974">
        <v>3.1337923334573898</v>
      </c>
      <c r="F974">
        <v>2.5126535169333799</v>
      </c>
      <c r="G974">
        <v>3.08662076665426</v>
      </c>
      <c r="H974">
        <v>2.2338109415705198</v>
      </c>
      <c r="I974">
        <v>3.1032750279121699</v>
      </c>
      <c r="J974">
        <v>3.3271306289542202</v>
      </c>
      <c r="K974">
        <v>3.0446594715295898</v>
      </c>
      <c r="L974">
        <v>10814.703911603699</v>
      </c>
      <c r="M974">
        <v>250</v>
      </c>
      <c r="O974">
        <v>43.256045622551099</v>
      </c>
      <c r="P974">
        <v>0.72244233896687704</v>
      </c>
      <c r="Q974">
        <v>1.5</v>
      </c>
      <c r="R974">
        <v>-1.08614013866557</v>
      </c>
      <c r="S974" t="s">
        <v>2848</v>
      </c>
      <c r="T974" t="s">
        <v>3746</v>
      </c>
      <c r="U974" t="s">
        <v>3746</v>
      </c>
      <c r="V974" t="s">
        <v>3746</v>
      </c>
      <c r="W974" t="s">
        <v>4710</v>
      </c>
      <c r="X974">
        <v>15</v>
      </c>
      <c r="Y974" t="s">
        <v>6510</v>
      </c>
      <c r="Z974" t="s">
        <v>8362</v>
      </c>
      <c r="AA974">
        <v>1.445648446615492</v>
      </c>
      <c r="AB974" t="str">
        <f>HYPERLINK("Melting_Curves/meltCurve_P13667_PDIA4.pdf", "Melting_Curves/meltCurve_P13667_PDIA4.pdf")</f>
        <v>Melting_Curves/meltCurve_P13667_PDIA4.pdf</v>
      </c>
    </row>
    <row r="975" spans="1:28" x14ac:dyDescent="0.25">
      <c r="A975" t="s">
        <v>979</v>
      </c>
      <c r="B975">
        <v>1</v>
      </c>
      <c r="C975">
        <v>0.95569332271641405</v>
      </c>
      <c r="D975">
        <v>1.3327835286087999</v>
      </c>
      <c r="E975">
        <v>1.96359913547947</v>
      </c>
      <c r="F975">
        <v>1.94380616539643</v>
      </c>
      <c r="G975">
        <v>2.7110112615174602</v>
      </c>
      <c r="H975">
        <v>1.63229439199181</v>
      </c>
      <c r="I975">
        <v>2.4772494596746699</v>
      </c>
      <c r="J975">
        <v>2.5606870663178301</v>
      </c>
      <c r="K975">
        <v>2.30770105790012</v>
      </c>
      <c r="L975">
        <v>11468.342663555901</v>
      </c>
      <c r="M975">
        <v>250</v>
      </c>
      <c r="O975">
        <v>45.870434523822503</v>
      </c>
      <c r="P975">
        <v>0.68126670248046595</v>
      </c>
      <c r="Q975">
        <v>1.5</v>
      </c>
      <c r="R975">
        <v>-0.25367125804576801</v>
      </c>
      <c r="S975" t="s">
        <v>2849</v>
      </c>
      <c r="T975" t="s">
        <v>3746</v>
      </c>
      <c r="U975" t="s">
        <v>3746</v>
      </c>
      <c r="V975" t="s">
        <v>3746</v>
      </c>
      <c r="W975" t="s">
        <v>4711</v>
      </c>
      <c r="X975">
        <v>16</v>
      </c>
      <c r="Y975" t="s">
        <v>6511</v>
      </c>
      <c r="Z975" t="s">
        <v>8363</v>
      </c>
      <c r="AA975">
        <v>1.4020702355704979</v>
      </c>
      <c r="AB975" t="str">
        <f>HYPERLINK("Melting_Curves/meltCurve_P13671_C6.pdf", "Melting_Curves/meltCurve_P13671_C6.pdf")</f>
        <v>Melting_Curves/meltCurve_P13671_C6.pdf</v>
      </c>
    </row>
    <row r="976" spans="1:28" x14ac:dyDescent="0.25">
      <c r="A976" t="s">
        <v>980</v>
      </c>
      <c r="B976">
        <v>1</v>
      </c>
      <c r="C976">
        <v>0.98392710244890202</v>
      </c>
      <c r="D976">
        <v>1.27102448902107</v>
      </c>
      <c r="E976">
        <v>1.1945200278428101</v>
      </c>
      <c r="F976">
        <v>1.1240903625893801</v>
      </c>
      <c r="G976">
        <v>1.18679997468835</v>
      </c>
      <c r="H976">
        <v>0.57184711763589202</v>
      </c>
      <c r="I976">
        <v>0.88255394545339505</v>
      </c>
      <c r="J976">
        <v>0.97076504461178303</v>
      </c>
      <c r="K976">
        <v>0.89539960766943005</v>
      </c>
      <c r="L976">
        <v>2410.3700436740501</v>
      </c>
      <c r="M976">
        <v>41.056600579323103</v>
      </c>
      <c r="O976">
        <v>58.569700611044802</v>
      </c>
      <c r="P976">
        <v>-2.66250198453192E-2</v>
      </c>
      <c r="Q976">
        <v>0.84807153945823799</v>
      </c>
      <c r="R976">
        <v>0.22701310196136901</v>
      </c>
      <c r="S976" t="s">
        <v>2850</v>
      </c>
      <c r="T976" t="s">
        <v>3746</v>
      </c>
      <c r="U976" t="s">
        <v>3746</v>
      </c>
      <c r="V976" t="s">
        <v>3746</v>
      </c>
      <c r="W976" t="s">
        <v>4712</v>
      </c>
      <c r="X976">
        <v>1</v>
      </c>
      <c r="Y976" t="s">
        <v>6512</v>
      </c>
      <c r="Z976" t="s">
        <v>8364</v>
      </c>
      <c r="AA976">
        <v>0.94338705238480691</v>
      </c>
      <c r="AB976" t="str">
        <f>HYPERLINK("Melting_Curves/meltCurve_P13726_2_F3.pdf", "Melting_Curves/meltCurve_P13726_2_F3.pdf")</f>
        <v>Melting_Curves/meltCurve_P13726_2_F3.pdf</v>
      </c>
    </row>
    <row r="977" spans="1:28" x14ac:dyDescent="0.25">
      <c r="A977" t="s">
        <v>981</v>
      </c>
      <c r="B977">
        <v>1</v>
      </c>
      <c r="C977">
        <v>0.93831267009374097</v>
      </c>
      <c r="D977">
        <v>1.1883882673117601</v>
      </c>
      <c r="E977">
        <v>1.4483671000907199</v>
      </c>
      <c r="F977">
        <v>0.93921983671000897</v>
      </c>
      <c r="G977">
        <v>1.01020562443302</v>
      </c>
      <c r="H977">
        <v>0.76791654067130299</v>
      </c>
      <c r="I977">
        <v>0.932869670396129</v>
      </c>
      <c r="J977">
        <v>0.96280616873299096</v>
      </c>
      <c r="K977">
        <v>0.77373752645902605</v>
      </c>
      <c r="L977">
        <v>14670.604391602301</v>
      </c>
      <c r="M977">
        <v>250</v>
      </c>
      <c r="O977">
        <v>58.678662301059198</v>
      </c>
      <c r="P977">
        <v>-0.149827505705382</v>
      </c>
      <c r="Q977">
        <v>0.85933315844202895</v>
      </c>
      <c r="R977">
        <v>0.222579885277122</v>
      </c>
      <c r="S977" t="s">
        <v>2851</v>
      </c>
      <c r="T977" t="s">
        <v>3746</v>
      </c>
      <c r="U977" t="s">
        <v>3746</v>
      </c>
      <c r="V977" t="s">
        <v>3746</v>
      </c>
      <c r="W977" t="s">
        <v>4713</v>
      </c>
      <c r="X977">
        <v>4</v>
      </c>
      <c r="Y977" t="s">
        <v>6513</v>
      </c>
      <c r="Z977" t="s">
        <v>8365</v>
      </c>
      <c r="AA977">
        <v>0.94694753431779211</v>
      </c>
      <c r="AB977" t="str">
        <f>HYPERLINK("Melting_Curves/meltCurve_P13760_HLA_DRB1.pdf", "Melting_Curves/meltCurve_P13760_HLA_DRB1.pdf")</f>
        <v>Melting_Curves/meltCurve_P13760_HLA_DRB1.pdf</v>
      </c>
    </row>
    <row r="978" spans="1:28" x14ac:dyDescent="0.25">
      <c r="A978" t="s">
        <v>982</v>
      </c>
      <c r="B978">
        <v>1</v>
      </c>
      <c r="C978">
        <v>0.83999625152281898</v>
      </c>
      <c r="D978">
        <v>1.1393496392090701</v>
      </c>
      <c r="E978">
        <v>1.3306156873770001</v>
      </c>
      <c r="F978">
        <v>0.856114703401743</v>
      </c>
      <c r="G978">
        <v>0.94470996157810905</v>
      </c>
      <c r="H978">
        <v>0.74179552056976805</v>
      </c>
      <c r="I978">
        <v>0.86495173835629302</v>
      </c>
      <c r="J978">
        <v>0.97254240464811204</v>
      </c>
      <c r="K978">
        <v>0.82088838909193196</v>
      </c>
      <c r="L978">
        <v>12952.9838543881</v>
      </c>
      <c r="M978">
        <v>250</v>
      </c>
      <c r="O978">
        <v>51.808619829348302</v>
      </c>
      <c r="P978">
        <v>-0.16072913670022501</v>
      </c>
      <c r="Q978">
        <v>0.86676552441764498</v>
      </c>
      <c r="R978">
        <v>0.303269417104301</v>
      </c>
      <c r="S978" t="s">
        <v>2852</v>
      </c>
      <c r="T978" t="s">
        <v>3746</v>
      </c>
      <c r="U978" t="s">
        <v>3746</v>
      </c>
      <c r="V978" t="s">
        <v>3746</v>
      </c>
      <c r="W978" t="s">
        <v>4714</v>
      </c>
      <c r="X978">
        <v>1</v>
      </c>
      <c r="Y978" t="s">
        <v>6514</v>
      </c>
      <c r="Z978" t="s">
        <v>8366</v>
      </c>
      <c r="AA978">
        <v>0.91923620667964079</v>
      </c>
      <c r="AB978" t="str">
        <f>HYPERLINK("Melting_Curves/meltCurve_P13762_HLA_DRB4.pdf", "Melting_Curves/meltCurve_P13762_HLA_DRB4.pdf")</f>
        <v>Melting_Curves/meltCurve_P13762_HLA_DRB4.pdf</v>
      </c>
    </row>
    <row r="979" spans="1:28" x14ac:dyDescent="0.25">
      <c r="A979" t="s">
        <v>983</v>
      </c>
      <c r="B979">
        <v>1</v>
      </c>
      <c r="C979">
        <v>1.02144220146631</v>
      </c>
      <c r="D979">
        <v>1.9507381741488401</v>
      </c>
      <c r="E979">
        <v>3.0823541227277298</v>
      </c>
      <c r="F979">
        <v>2.3036055036657599</v>
      </c>
      <c r="G979">
        <v>2.6534096615446399</v>
      </c>
      <c r="H979">
        <v>1.7776438686351299</v>
      </c>
      <c r="I979">
        <v>2.4471728432258701</v>
      </c>
      <c r="J979">
        <v>2.5890328412172301</v>
      </c>
      <c r="K979">
        <v>2.3489504870945099</v>
      </c>
      <c r="S979" t="s">
        <v>2853</v>
      </c>
      <c r="T979" t="s">
        <v>3746</v>
      </c>
      <c r="U979" t="s">
        <v>3747</v>
      </c>
      <c r="V979" t="s">
        <v>3746</v>
      </c>
      <c r="W979" t="s">
        <v>4715</v>
      </c>
      <c r="X979">
        <v>22</v>
      </c>
      <c r="Y979" t="s">
        <v>6515</v>
      </c>
      <c r="Z979" t="s">
        <v>8367</v>
      </c>
      <c r="AB979" t="str">
        <f>HYPERLINK("Melting_Curves/meltCurve_P13796_LCP1.pdf", "Melting_Curves/meltCurve_P13796_LCP1.pdf")</f>
        <v>Melting_Curves/meltCurve_P13796_LCP1.pdf</v>
      </c>
    </row>
    <row r="980" spans="1:28" x14ac:dyDescent="0.25">
      <c r="A980" t="s">
        <v>984</v>
      </c>
      <c r="B980">
        <v>1</v>
      </c>
      <c r="C980">
        <v>0.84565579623899101</v>
      </c>
      <c r="D980">
        <v>1.24689359676268</v>
      </c>
      <c r="E980">
        <v>1.3581052130445099</v>
      </c>
      <c r="F980">
        <v>0.859581052130445</v>
      </c>
      <c r="G980">
        <v>0.80875981909069306</v>
      </c>
      <c r="H980">
        <v>0.64046655558200405</v>
      </c>
      <c r="I980">
        <v>0.96012854082361299</v>
      </c>
      <c r="J980">
        <v>0.961866222328017</v>
      </c>
      <c r="K980">
        <v>0.87214948821709104</v>
      </c>
      <c r="L980">
        <v>13114.729913969901</v>
      </c>
      <c r="M980">
        <v>250</v>
      </c>
      <c r="O980">
        <v>52.455579638750798</v>
      </c>
      <c r="P980">
        <v>-0.180307799916437</v>
      </c>
      <c r="Q980">
        <v>0.84866964646144105</v>
      </c>
      <c r="R980">
        <v>0.287129832108384</v>
      </c>
      <c r="S980" t="s">
        <v>2854</v>
      </c>
      <c r="T980" t="s">
        <v>3746</v>
      </c>
      <c r="U980" t="s">
        <v>3746</v>
      </c>
      <c r="V980" t="s">
        <v>3746</v>
      </c>
      <c r="W980" t="s">
        <v>4716</v>
      </c>
      <c r="X980">
        <v>6</v>
      </c>
      <c r="Y980" t="s">
        <v>6516</v>
      </c>
      <c r="Z980" t="s">
        <v>8368</v>
      </c>
      <c r="AA980">
        <v>0.91153066916911618</v>
      </c>
      <c r="AB980" t="str">
        <f>HYPERLINK("Melting_Curves/meltCurve_P13866_SLC5A1.pdf", "Melting_Curves/meltCurve_P13866_SLC5A1.pdf")</f>
        <v>Melting_Curves/meltCurve_P13866_SLC5A1.pdf</v>
      </c>
    </row>
    <row r="981" spans="1:28" x14ac:dyDescent="0.25">
      <c r="A981" t="s">
        <v>985</v>
      </c>
      <c r="B981">
        <v>1</v>
      </c>
      <c r="C981">
        <v>1.1628108006161</v>
      </c>
      <c r="D981">
        <v>1.3171816552981499</v>
      </c>
      <c r="E981">
        <v>1.58252915474806</v>
      </c>
      <c r="F981">
        <v>1.60107503221953</v>
      </c>
      <c r="G981">
        <v>1.5355357872567801</v>
      </c>
      <c r="H981">
        <v>0.86145600854996396</v>
      </c>
      <c r="I981">
        <v>1.2363342029987701</v>
      </c>
      <c r="J981">
        <v>1.3812277999559901</v>
      </c>
      <c r="K981">
        <v>1.17371829126458</v>
      </c>
      <c r="L981">
        <v>2430.4340868138602</v>
      </c>
      <c r="M981">
        <v>56.572380373788697</v>
      </c>
      <c r="O981">
        <v>42.907912974519498</v>
      </c>
      <c r="P981">
        <v>0.111148204719514</v>
      </c>
      <c r="Q981">
        <v>1.33720589291929</v>
      </c>
      <c r="R981">
        <v>0.21244850271126101</v>
      </c>
      <c r="S981" t="s">
        <v>2855</v>
      </c>
      <c r="T981" t="s">
        <v>3746</v>
      </c>
      <c r="U981" t="s">
        <v>3746</v>
      </c>
      <c r="V981" t="s">
        <v>3746</v>
      </c>
      <c r="W981" t="s">
        <v>4717</v>
      </c>
      <c r="X981">
        <v>3</v>
      </c>
      <c r="Y981" t="s">
        <v>6517</v>
      </c>
      <c r="Z981" t="s">
        <v>8369</v>
      </c>
      <c r="AA981">
        <v>1.3033116475929949</v>
      </c>
      <c r="AB981" t="str">
        <f>HYPERLINK("Melting_Curves/meltCurve_P14174_MIF.pdf", "Melting_Curves/meltCurve_P14174_MIF.pdf")</f>
        <v>Melting_Curves/meltCurve_P14174_MIF.pdf</v>
      </c>
    </row>
    <row r="982" spans="1:28" x14ac:dyDescent="0.25">
      <c r="A982" t="s">
        <v>986</v>
      </c>
      <c r="B982">
        <v>1</v>
      </c>
      <c r="C982">
        <v>1.12220871831666</v>
      </c>
      <c r="D982">
        <v>1.8136558651692001</v>
      </c>
      <c r="E982">
        <v>2.4736063725418398</v>
      </c>
      <c r="F982">
        <v>2.1603971124419798</v>
      </c>
      <c r="G982">
        <v>2.3268856251738801</v>
      </c>
      <c r="H982">
        <v>2.0562868815251898</v>
      </c>
      <c r="I982">
        <v>3.3075132151172202</v>
      </c>
      <c r="J982">
        <v>3.3366523655425899</v>
      </c>
      <c r="K982">
        <v>3.1203783696718599</v>
      </c>
      <c r="S982" t="s">
        <v>2856</v>
      </c>
      <c r="T982" t="s">
        <v>3746</v>
      </c>
      <c r="U982" t="s">
        <v>3747</v>
      </c>
      <c r="V982" t="s">
        <v>3746</v>
      </c>
      <c r="W982" t="s">
        <v>4718</v>
      </c>
      <c r="X982">
        <v>4</v>
      </c>
      <c r="Y982" t="s">
        <v>6518</v>
      </c>
      <c r="Z982" t="s">
        <v>8370</v>
      </c>
      <c r="AB982" t="str">
        <f>HYPERLINK("Melting_Curves/meltCurve_P14324_2_FDPS.pdf", "Melting_Curves/meltCurve_P14324_2_FDPS.pdf")</f>
        <v>Melting_Curves/meltCurve_P14324_2_FDPS.pdf</v>
      </c>
    </row>
    <row r="983" spans="1:28" x14ac:dyDescent="0.25">
      <c r="A983" t="s">
        <v>987</v>
      </c>
      <c r="B983">
        <v>1</v>
      </c>
      <c r="C983">
        <v>1.0592420909668001</v>
      </c>
      <c r="D983">
        <v>1.95618476800661</v>
      </c>
      <c r="E983">
        <v>2.7422902611494102</v>
      </c>
      <c r="F983">
        <v>1.8450228081312099</v>
      </c>
      <c r="G983">
        <v>2.2272250845155699</v>
      </c>
      <c r="H983">
        <v>1.3217939444042599</v>
      </c>
      <c r="I983">
        <v>2.1940093594532</v>
      </c>
      <c r="J983">
        <v>2.0540604378570699</v>
      </c>
      <c r="K983">
        <v>2.0261592288046799</v>
      </c>
      <c r="L983">
        <v>10811.0933950327</v>
      </c>
      <c r="M983">
        <v>250</v>
      </c>
      <c r="O983">
        <v>43.2416061441278</v>
      </c>
      <c r="P983">
        <v>0.72268360875722004</v>
      </c>
      <c r="Q983">
        <v>1.5</v>
      </c>
      <c r="R983">
        <v>-0.26362825604085199</v>
      </c>
      <c r="S983" t="s">
        <v>2857</v>
      </c>
      <c r="T983" t="s">
        <v>3746</v>
      </c>
      <c r="U983" t="s">
        <v>3746</v>
      </c>
      <c r="V983" t="s">
        <v>3746</v>
      </c>
      <c r="W983" t="s">
        <v>4719</v>
      </c>
      <c r="X983">
        <v>14</v>
      </c>
      <c r="Y983" t="s">
        <v>6519</v>
      </c>
      <c r="Z983" t="s">
        <v>8371</v>
      </c>
      <c r="AA983">
        <v>1.4458891603926951</v>
      </c>
      <c r="AB983" t="str">
        <f>HYPERLINK("Melting_Curves/meltCurve_P14543_2_NID1.pdf", "Melting_Curves/meltCurve_P14543_2_NID1.pdf")</f>
        <v>Melting_Curves/meltCurve_P14543_2_NID1.pdf</v>
      </c>
    </row>
    <row r="984" spans="1:28" x14ac:dyDescent="0.25">
      <c r="A984" t="s">
        <v>988</v>
      </c>
      <c r="B984">
        <v>1</v>
      </c>
      <c r="C984">
        <v>1.06491027109584</v>
      </c>
      <c r="D984">
        <v>1.4813621611301999</v>
      </c>
      <c r="E984">
        <v>1.98489404352806</v>
      </c>
      <c r="F984">
        <v>1.49126575028637</v>
      </c>
      <c r="G984">
        <v>1.6320637647957199</v>
      </c>
      <c r="H984">
        <v>1.2659889270714</v>
      </c>
      <c r="I984">
        <v>2.5942630775105</v>
      </c>
      <c r="J984">
        <v>3.3509927453226398</v>
      </c>
      <c r="K984">
        <v>3.41196544482627</v>
      </c>
      <c r="L984">
        <v>3399.22720543387</v>
      </c>
      <c r="M984">
        <v>77.326052823752605</v>
      </c>
      <c r="O984">
        <v>43.930273991641897</v>
      </c>
      <c r="P984">
        <v>0.220024920061828</v>
      </c>
      <c r="Q984">
        <v>1.5</v>
      </c>
      <c r="R984">
        <v>-0.193191526649581</v>
      </c>
      <c r="S984" t="s">
        <v>2858</v>
      </c>
      <c r="T984" t="s">
        <v>3746</v>
      </c>
      <c r="U984" t="s">
        <v>3746</v>
      </c>
      <c r="V984" t="s">
        <v>3746</v>
      </c>
      <c r="W984" t="s">
        <v>4720</v>
      </c>
      <c r="X984">
        <v>11</v>
      </c>
      <c r="Y984" t="s">
        <v>6520</v>
      </c>
      <c r="Z984" t="s">
        <v>8372</v>
      </c>
      <c r="AA984">
        <v>1.4335979362822171</v>
      </c>
      <c r="AB984" t="str">
        <f>HYPERLINK("Melting_Curves/meltCurve_P14550_AKR1A1.pdf", "Melting_Curves/meltCurve_P14550_AKR1A1.pdf")</f>
        <v>Melting_Curves/meltCurve_P14550_AKR1A1.pdf</v>
      </c>
    </row>
    <row r="985" spans="1:28" x14ac:dyDescent="0.25">
      <c r="A985" t="s">
        <v>989</v>
      </c>
      <c r="B985">
        <v>1</v>
      </c>
      <c r="C985">
        <v>1.0485027792720101</v>
      </c>
      <c r="D985">
        <v>1.3702707548861399</v>
      </c>
      <c r="E985">
        <v>1.79316837009145</v>
      </c>
      <c r="F985">
        <v>1.3225748610364001</v>
      </c>
      <c r="G985">
        <v>1.2973821050744101</v>
      </c>
      <c r="H985">
        <v>1.14855657163349</v>
      </c>
      <c r="I985">
        <v>1.9879863726017599</v>
      </c>
      <c r="J985">
        <v>2.4919311457773001</v>
      </c>
      <c r="K985">
        <v>2.46360050206204</v>
      </c>
      <c r="L985">
        <v>2562.8772865569999</v>
      </c>
      <c r="M985">
        <v>56.888919636073901</v>
      </c>
      <c r="O985">
        <v>44.994986708197899</v>
      </c>
      <c r="P985">
        <v>0.158042464071942</v>
      </c>
      <c r="Q985">
        <v>1.5</v>
      </c>
      <c r="R985">
        <v>0.13616832498499701</v>
      </c>
      <c r="S985" t="s">
        <v>2859</v>
      </c>
      <c r="T985" t="s">
        <v>3746</v>
      </c>
      <c r="U985" t="s">
        <v>3746</v>
      </c>
      <c r="V985" t="s">
        <v>3746</v>
      </c>
      <c r="W985" t="s">
        <v>4721</v>
      </c>
      <c r="X985">
        <v>14</v>
      </c>
      <c r="Y985" t="s">
        <v>6521</v>
      </c>
      <c r="Z985" t="s">
        <v>8373</v>
      </c>
      <c r="AA985">
        <v>1.415049905098942</v>
      </c>
      <c r="AB985" t="str">
        <f>HYPERLINK("Melting_Curves/meltCurve_P14618_PKM.pdf", "Melting_Curves/meltCurve_P14618_PKM.pdf")</f>
        <v>Melting_Curves/meltCurve_P14618_PKM.pdf</v>
      </c>
    </row>
    <row r="986" spans="1:28" x14ac:dyDescent="0.25">
      <c r="A986" t="s">
        <v>990</v>
      </c>
      <c r="B986">
        <v>1</v>
      </c>
      <c r="C986">
        <v>1.13649206694197</v>
      </c>
      <c r="D986">
        <v>1.3166702890675901</v>
      </c>
      <c r="E986">
        <v>1.54222995001087</v>
      </c>
      <c r="F986">
        <v>1.64612040860682</v>
      </c>
      <c r="G986">
        <v>1.4252988480765101</v>
      </c>
      <c r="H986">
        <v>0.78574222995001097</v>
      </c>
      <c r="I986">
        <v>1.36157357096283</v>
      </c>
      <c r="J986">
        <v>1.39430558574223</v>
      </c>
      <c r="K986">
        <v>1.2141708324277301</v>
      </c>
      <c r="L986">
        <v>2404.5987477293002</v>
      </c>
      <c r="M986">
        <v>55.653785973561902</v>
      </c>
      <c r="O986">
        <v>43.150711743109397</v>
      </c>
      <c r="P986">
        <v>0.108739832563086</v>
      </c>
      <c r="Q986">
        <v>1.33724194306887</v>
      </c>
      <c r="R986">
        <v>0.20933445176983101</v>
      </c>
      <c r="S986" t="s">
        <v>2860</v>
      </c>
      <c r="T986" t="s">
        <v>3746</v>
      </c>
      <c r="U986" t="s">
        <v>3746</v>
      </c>
      <c r="V986" t="s">
        <v>3746</v>
      </c>
      <c r="W986" t="s">
        <v>4722</v>
      </c>
      <c r="X986">
        <v>3</v>
      </c>
      <c r="Y986" t="s">
        <v>6522</v>
      </c>
      <c r="Z986" t="s">
        <v>8374</v>
      </c>
      <c r="AA986">
        <v>1.30059635182871</v>
      </c>
      <c r="AB986" t="str">
        <f>HYPERLINK("Melting_Curves/meltCurve_P14621_ACYP2.pdf", "Melting_Curves/meltCurve_P14621_ACYP2.pdf")</f>
        <v>Melting_Curves/meltCurve_P14621_ACYP2.pdf</v>
      </c>
    </row>
    <row r="987" spans="1:28" x14ac:dyDescent="0.25">
      <c r="A987" t="s">
        <v>991</v>
      </c>
      <c r="B987">
        <v>1</v>
      </c>
      <c r="C987">
        <v>1.11328956305185</v>
      </c>
      <c r="D987">
        <v>1.9600181118406199</v>
      </c>
      <c r="E987">
        <v>3.39592483586144</v>
      </c>
      <c r="F987">
        <v>2.1963776318768402</v>
      </c>
      <c r="G987">
        <v>2.3609237038714102</v>
      </c>
      <c r="H987">
        <v>2.0444645687117999</v>
      </c>
      <c r="I987">
        <v>2.5779035544487199</v>
      </c>
      <c r="J987">
        <v>2.7911704776997999</v>
      </c>
      <c r="K987">
        <v>2.71229341181798</v>
      </c>
      <c r="L987">
        <v>10777.669417081201</v>
      </c>
      <c r="M987">
        <v>250</v>
      </c>
      <c r="O987">
        <v>43.107918887700798</v>
      </c>
      <c r="P987">
        <v>0.72492481323945102</v>
      </c>
      <c r="Q987">
        <v>1.5</v>
      </c>
      <c r="R987">
        <v>-0.96025567038598203</v>
      </c>
      <c r="S987" t="s">
        <v>2861</v>
      </c>
      <c r="T987" t="s">
        <v>3746</v>
      </c>
      <c r="U987" t="s">
        <v>3746</v>
      </c>
      <c r="V987" t="s">
        <v>3746</v>
      </c>
      <c r="W987" t="s">
        <v>4723</v>
      </c>
      <c r="X987">
        <v>24</v>
      </c>
      <c r="Y987" t="s">
        <v>6523</v>
      </c>
      <c r="Z987" t="s">
        <v>8375</v>
      </c>
      <c r="AA987">
        <v>1.4481175429015609</v>
      </c>
      <c r="AB987" t="str">
        <f>HYPERLINK("Melting_Curves/meltCurve_P14625_HSP90B1.pdf", "Melting_Curves/meltCurve_P14625_HSP90B1.pdf")</f>
        <v>Melting_Curves/meltCurve_P14625_HSP90B1.pdf</v>
      </c>
    </row>
    <row r="988" spans="1:28" x14ac:dyDescent="0.25">
      <c r="A988" t="s">
        <v>992</v>
      </c>
      <c r="B988">
        <v>1</v>
      </c>
      <c r="C988">
        <v>1.23516988632834</v>
      </c>
      <c r="D988">
        <v>1.7007267532144901</v>
      </c>
      <c r="E988">
        <v>1.8454562395179801</v>
      </c>
      <c r="F988">
        <v>0.67588048947139601</v>
      </c>
      <c r="G988">
        <v>0.63103298341511904</v>
      </c>
      <c r="H988">
        <v>0.33018821044785401</v>
      </c>
      <c r="I988">
        <v>1.03757997391142</v>
      </c>
      <c r="J988">
        <v>0.79042176532703901</v>
      </c>
      <c r="K988">
        <v>0.62314429467668797</v>
      </c>
      <c r="L988">
        <v>12987.888993868601</v>
      </c>
      <c r="M988">
        <v>250</v>
      </c>
      <c r="O988">
        <v>51.948231434073101</v>
      </c>
      <c r="P988">
        <v>-0.38377647156293798</v>
      </c>
      <c r="Q988">
        <v>0.68101585703810996</v>
      </c>
      <c r="R988">
        <v>0.28426881102393697</v>
      </c>
      <c r="S988" t="s">
        <v>2862</v>
      </c>
      <c r="T988" t="s">
        <v>3746</v>
      </c>
      <c r="U988" t="s">
        <v>3746</v>
      </c>
      <c r="V988" t="s">
        <v>3746</v>
      </c>
      <c r="W988" t="s">
        <v>4724</v>
      </c>
      <c r="X988">
        <v>3</v>
      </c>
      <c r="Y988" t="s">
        <v>6524</v>
      </c>
      <c r="Z988" t="s">
        <v>8376</v>
      </c>
      <c r="AA988">
        <v>0.80812350148321233</v>
      </c>
      <c r="AB988" t="str">
        <f>HYPERLINK("Melting_Curves/meltCurve_P14735_IDE.pdf", "Melting_Curves/meltCurve_P14735_IDE.pdf")</f>
        <v>Melting_Curves/meltCurve_P14735_IDE.pdf</v>
      </c>
    </row>
    <row r="989" spans="1:28" x14ac:dyDescent="0.25">
      <c r="A989" t="s">
        <v>993</v>
      </c>
      <c r="B989">
        <v>1</v>
      </c>
      <c r="C989">
        <v>1.23131288931481</v>
      </c>
      <c r="D989">
        <v>1.5974484906564399</v>
      </c>
      <c r="E989">
        <v>1.6551269765213199</v>
      </c>
      <c r="F989">
        <v>0.95927168183996203</v>
      </c>
      <c r="G989">
        <v>1.2689266890273101</v>
      </c>
      <c r="H989">
        <v>0.59171657882127504</v>
      </c>
      <c r="I989">
        <v>1.2253234307618599</v>
      </c>
      <c r="J989">
        <v>1.0826545280306701</v>
      </c>
      <c r="K989">
        <v>1.2657522759942501</v>
      </c>
      <c r="L989">
        <v>2286.2624187388201</v>
      </c>
      <c r="M989">
        <v>33.657037682258697</v>
      </c>
      <c r="O989">
        <v>67.6897555034802</v>
      </c>
      <c r="P989">
        <v>4.3453622295768803E-2</v>
      </c>
      <c r="Q989">
        <v>1.34956765194324</v>
      </c>
      <c r="R989">
        <v>-0.31258103757251399</v>
      </c>
      <c r="S989" t="s">
        <v>2863</v>
      </c>
      <c r="T989" t="s">
        <v>3746</v>
      </c>
      <c r="U989" t="s">
        <v>3746</v>
      </c>
      <c r="V989" t="s">
        <v>3746</v>
      </c>
      <c r="W989" t="s">
        <v>4725</v>
      </c>
      <c r="X989">
        <v>5</v>
      </c>
      <c r="Y989" t="s">
        <v>6525</v>
      </c>
      <c r="Z989" t="s">
        <v>8377</v>
      </c>
      <c r="AA989">
        <v>1.0302394325212461</v>
      </c>
      <c r="AB989" t="str">
        <f>HYPERLINK("Melting_Curves/meltCurve_P14923_JUP.pdf", "Melting_Curves/meltCurve_P14923_JUP.pdf")</f>
        <v>Melting_Curves/meltCurve_P14923_JUP.pdf</v>
      </c>
    </row>
    <row r="990" spans="1:28" x14ac:dyDescent="0.25">
      <c r="A990" t="s">
        <v>994</v>
      </c>
      <c r="B990">
        <v>1</v>
      </c>
      <c r="C990">
        <v>1.10750044698731</v>
      </c>
      <c r="D990">
        <v>1.6310566779903499</v>
      </c>
      <c r="E990">
        <v>2.0414357232254599</v>
      </c>
      <c r="F990">
        <v>1.53227248346147</v>
      </c>
      <c r="G990">
        <v>1.63887895583765</v>
      </c>
      <c r="H990">
        <v>1.0868496334704101</v>
      </c>
      <c r="I990">
        <v>1.51814768460576</v>
      </c>
      <c r="J990">
        <v>1.4565081351689599</v>
      </c>
      <c r="K990">
        <v>1.3732790988735899</v>
      </c>
      <c r="L990">
        <v>10780.5571734761</v>
      </c>
      <c r="M990">
        <v>250</v>
      </c>
      <c r="O990">
        <v>43.119469161966201</v>
      </c>
      <c r="P990">
        <v>0.72473062974489399</v>
      </c>
      <c r="Q990">
        <v>1.5</v>
      </c>
      <c r="R990">
        <v>0.41349543566232</v>
      </c>
      <c r="S990" t="s">
        <v>2864</v>
      </c>
      <c r="T990" t="s">
        <v>3746</v>
      </c>
      <c r="U990" t="s">
        <v>3746</v>
      </c>
      <c r="V990" t="s">
        <v>3746</v>
      </c>
      <c r="W990" t="s">
        <v>4726</v>
      </c>
      <c r="X990">
        <v>4</v>
      </c>
      <c r="Y990" t="s">
        <v>6526</v>
      </c>
      <c r="Z990" t="s">
        <v>8378</v>
      </c>
      <c r="AA990">
        <v>1.447925015673251</v>
      </c>
      <c r="AB990" t="str">
        <f>HYPERLINK("Melting_Curves/meltCurve_P15086_CPB1.pdf", "Melting_Curves/meltCurve_P15086_CPB1.pdf")</f>
        <v>Melting_Curves/meltCurve_P15086_CPB1.pdf</v>
      </c>
    </row>
    <row r="991" spans="1:28" x14ac:dyDescent="0.25">
      <c r="A991" t="s">
        <v>995</v>
      </c>
      <c r="B991">
        <v>1</v>
      </c>
      <c r="C991">
        <v>1.1259322525050699</v>
      </c>
      <c r="D991">
        <v>1.99246572208581</v>
      </c>
      <c r="E991">
        <v>3.11940457852273</v>
      </c>
      <c r="F991">
        <v>2.7600774779995998</v>
      </c>
      <c r="G991">
        <v>3.2841215855537098</v>
      </c>
      <c r="H991">
        <v>2.1584028550947898</v>
      </c>
      <c r="I991">
        <v>2.94507907941495</v>
      </c>
      <c r="J991">
        <v>2.9562127289642701</v>
      </c>
      <c r="K991">
        <v>2.9964768862384998</v>
      </c>
      <c r="L991">
        <v>10771.7047752372</v>
      </c>
      <c r="M991">
        <v>250</v>
      </c>
      <c r="O991">
        <v>43.084061939114299</v>
      </c>
      <c r="P991">
        <v>0.72532622758976795</v>
      </c>
      <c r="Q991">
        <v>1.5</v>
      </c>
      <c r="R991">
        <v>-1.34631924609578</v>
      </c>
      <c r="S991" t="s">
        <v>2865</v>
      </c>
      <c r="T991" t="s">
        <v>3746</v>
      </c>
      <c r="U991" t="s">
        <v>3746</v>
      </c>
      <c r="V991" t="s">
        <v>3746</v>
      </c>
      <c r="W991" t="s">
        <v>4727</v>
      </c>
      <c r="X991">
        <v>2</v>
      </c>
      <c r="Y991" t="s">
        <v>6527</v>
      </c>
      <c r="Z991" t="s">
        <v>8379</v>
      </c>
      <c r="AA991">
        <v>1.4485152066254401</v>
      </c>
      <c r="AB991" t="str">
        <f>HYPERLINK("Melting_Curves/meltCurve_P15090_FABP4.pdf", "Melting_Curves/meltCurve_P15090_FABP4.pdf")</f>
        <v>Melting_Curves/meltCurve_P15090_FABP4.pdf</v>
      </c>
    </row>
    <row r="992" spans="1:28" x14ac:dyDescent="0.25">
      <c r="A992" t="s">
        <v>996</v>
      </c>
      <c r="B992">
        <v>1</v>
      </c>
      <c r="C992">
        <v>1.0751152372914401</v>
      </c>
      <c r="D992">
        <v>1.3659676686359801</v>
      </c>
      <c r="E992">
        <v>1.79633837564111</v>
      </c>
      <c r="F992">
        <v>1.4175160682983801</v>
      </c>
      <c r="G992">
        <v>2.92735181458157</v>
      </c>
      <c r="H992">
        <v>2.4483542167110302</v>
      </c>
      <c r="I992">
        <v>3.5060702460559598</v>
      </c>
      <c r="J992">
        <v>3.4586768811270501</v>
      </c>
      <c r="K992">
        <v>3.1908719080698602</v>
      </c>
      <c r="L992">
        <v>2176.2129644943798</v>
      </c>
      <c r="M992">
        <v>48.570026830599801</v>
      </c>
      <c r="O992">
        <v>44.729919219983202</v>
      </c>
      <c r="P992">
        <v>0.13573150288298599</v>
      </c>
      <c r="Q992">
        <v>1.5</v>
      </c>
      <c r="R992">
        <v>-0.52225412351585598</v>
      </c>
      <c r="S992" t="s">
        <v>2866</v>
      </c>
      <c r="T992" t="s">
        <v>3746</v>
      </c>
      <c r="U992" t="s">
        <v>3746</v>
      </c>
      <c r="V992" t="s">
        <v>3746</v>
      </c>
      <c r="W992" t="s">
        <v>4728</v>
      </c>
      <c r="X992">
        <v>4</v>
      </c>
      <c r="Y992" t="s">
        <v>6528</v>
      </c>
      <c r="Z992" t="s">
        <v>8380</v>
      </c>
      <c r="AA992">
        <v>1.4188232649047119</v>
      </c>
      <c r="AB992" t="str">
        <f>HYPERLINK("Melting_Curves/meltCurve_P15104_GLUL.pdf", "Melting_Curves/meltCurve_P15104_GLUL.pdf")</f>
        <v>Melting_Curves/meltCurve_P15104_GLUL.pdf</v>
      </c>
    </row>
    <row r="993" spans="1:28" x14ac:dyDescent="0.25">
      <c r="A993" t="s">
        <v>997</v>
      </c>
      <c r="B993">
        <v>1</v>
      </c>
      <c r="C993">
        <v>0.817348066298343</v>
      </c>
      <c r="D993">
        <v>1.0837016574585601</v>
      </c>
      <c r="E993">
        <v>1.14812154696133</v>
      </c>
      <c r="F993">
        <v>0.74635359116022104</v>
      </c>
      <c r="G993">
        <v>0.86621546961326001</v>
      </c>
      <c r="H993">
        <v>0.448701657458564</v>
      </c>
      <c r="I993">
        <v>0.89618784530386697</v>
      </c>
      <c r="J993">
        <v>0.78654696132596702</v>
      </c>
      <c r="K993">
        <v>0.65447513812154701</v>
      </c>
      <c r="L993">
        <v>13103.3706941091</v>
      </c>
      <c r="M993">
        <v>250</v>
      </c>
      <c r="O993">
        <v>52.410129124993801</v>
      </c>
      <c r="P993">
        <v>-0.321475866328085</v>
      </c>
      <c r="Q993">
        <v>0.73042253606410901</v>
      </c>
      <c r="R993">
        <v>0.487212659189526</v>
      </c>
      <c r="S993" t="s">
        <v>2867</v>
      </c>
      <c r="T993" t="s">
        <v>3746</v>
      </c>
      <c r="U993" t="s">
        <v>3746</v>
      </c>
      <c r="V993" t="s">
        <v>3746</v>
      </c>
      <c r="W993" t="s">
        <v>4729</v>
      </c>
      <c r="X993">
        <v>7</v>
      </c>
      <c r="Y993" t="s">
        <v>6529</v>
      </c>
      <c r="Z993" t="s">
        <v>8381</v>
      </c>
      <c r="AA993">
        <v>0.84199383995521226</v>
      </c>
      <c r="AB993" t="str">
        <f>HYPERLINK("Melting_Curves/meltCurve_P15144_ANPEP.pdf", "Melting_Curves/meltCurve_P15144_ANPEP.pdf")</f>
        <v>Melting_Curves/meltCurve_P15144_ANPEP.pdf</v>
      </c>
    </row>
    <row r="994" spans="1:28" x14ac:dyDescent="0.25">
      <c r="A994" t="s">
        <v>998</v>
      </c>
      <c r="B994">
        <v>1</v>
      </c>
      <c r="C994">
        <v>1.09891655578787</v>
      </c>
      <c r="D994">
        <v>1.20600646264969</v>
      </c>
      <c r="E994">
        <v>1.46196540581638</v>
      </c>
      <c r="F994">
        <v>0.94799467781790503</v>
      </c>
      <c r="G994">
        <v>1.0814674016346699</v>
      </c>
      <c r="H994">
        <v>0.68941265919026795</v>
      </c>
      <c r="I994">
        <v>1.0853069758600999</v>
      </c>
      <c r="J994">
        <v>1.0350123550655801</v>
      </c>
      <c r="K994">
        <v>0.92662991826648899</v>
      </c>
      <c r="L994">
        <v>10236.797577966599</v>
      </c>
      <c r="M994">
        <v>250</v>
      </c>
      <c r="O994">
        <v>40.944570800062799</v>
      </c>
      <c r="P994">
        <v>9.0351183426178303E-2</v>
      </c>
      <c r="Q994">
        <v>1.0591902455479401</v>
      </c>
      <c r="R994">
        <v>8.8333575293146893E-3</v>
      </c>
      <c r="S994" t="s">
        <v>2868</v>
      </c>
      <c r="T994" t="s">
        <v>3746</v>
      </c>
      <c r="U994" t="s">
        <v>3746</v>
      </c>
      <c r="V994" t="s">
        <v>3746</v>
      </c>
      <c r="W994" t="s">
        <v>4730</v>
      </c>
      <c r="X994">
        <v>3</v>
      </c>
      <c r="Y994" t="s">
        <v>6530</v>
      </c>
      <c r="Z994" t="s">
        <v>8382</v>
      </c>
      <c r="AA994">
        <v>1.057316357192462</v>
      </c>
      <c r="AB994" t="str">
        <f>HYPERLINK("Melting_Curves/meltCurve_P15151_3_PVR.pdf", "Melting_Curves/meltCurve_P15151_3_PVR.pdf")</f>
        <v>Melting_Curves/meltCurve_P15151_3_PVR.pdf</v>
      </c>
    </row>
    <row r="995" spans="1:28" x14ac:dyDescent="0.25">
      <c r="A995" t="s">
        <v>999</v>
      </c>
      <c r="B995">
        <v>1</v>
      </c>
      <c r="C995">
        <v>1.0958928064001401</v>
      </c>
      <c r="D995">
        <v>1.72961157620932</v>
      </c>
      <c r="E995">
        <v>2.2127259612232</v>
      </c>
      <c r="F995">
        <v>1.54761852718092</v>
      </c>
      <c r="G995">
        <v>1.78174386325384</v>
      </c>
      <c r="H995">
        <v>1.7298520186233599</v>
      </c>
      <c r="I995">
        <v>2.3534940654440502</v>
      </c>
      <c r="J995">
        <v>2.05298476469431</v>
      </c>
      <c r="K995">
        <v>2.1031716540252199</v>
      </c>
      <c r="L995">
        <v>10786.709329909299</v>
      </c>
      <c r="M995">
        <v>250</v>
      </c>
      <c r="O995">
        <v>43.144080191909197</v>
      </c>
      <c r="P995">
        <v>0.72431728243883997</v>
      </c>
      <c r="Q995">
        <v>1.5</v>
      </c>
      <c r="R995">
        <v>-0.14582060906688801</v>
      </c>
      <c r="S995" t="s">
        <v>2869</v>
      </c>
      <c r="T995" t="s">
        <v>3746</v>
      </c>
      <c r="U995" t="s">
        <v>3746</v>
      </c>
      <c r="V995" t="s">
        <v>3746</v>
      </c>
      <c r="W995" t="s">
        <v>4731</v>
      </c>
      <c r="X995">
        <v>3</v>
      </c>
      <c r="Y995" t="s">
        <v>6531</v>
      </c>
      <c r="Z995" t="s">
        <v>8383</v>
      </c>
      <c r="AA995">
        <v>1.447514850318337</v>
      </c>
      <c r="AB995" t="str">
        <f>HYPERLINK("Melting_Curves/meltCurve_P15169_CPN1.pdf", "Melting_Curves/meltCurve_P15169_CPN1.pdf")</f>
        <v>Melting_Curves/meltCurve_P15169_CPN1.pdf</v>
      </c>
    </row>
    <row r="996" spans="1:28" x14ac:dyDescent="0.25">
      <c r="A996" t="s">
        <v>1000</v>
      </c>
      <c r="B996">
        <v>1</v>
      </c>
      <c r="C996">
        <v>1.06879772227255</v>
      </c>
      <c r="D996">
        <v>1.65976446227514</v>
      </c>
      <c r="E996">
        <v>2.0376601527112701</v>
      </c>
      <c r="F996">
        <v>1.65044648634658</v>
      </c>
      <c r="G996">
        <v>1.84340623786722</v>
      </c>
      <c r="H996">
        <v>1.7708036754238401</v>
      </c>
      <c r="I996">
        <v>1.79319270091886</v>
      </c>
      <c r="J996">
        <v>1.69198912902808</v>
      </c>
      <c r="K996">
        <v>1.5787498382295799</v>
      </c>
      <c r="L996">
        <v>10803.7387034857</v>
      </c>
      <c r="M996">
        <v>250</v>
      </c>
      <c r="O996">
        <v>43.212189355542499</v>
      </c>
      <c r="P996">
        <v>0.723175578729367</v>
      </c>
      <c r="Q996">
        <v>1.5</v>
      </c>
      <c r="R996">
        <v>0.32464584522425399</v>
      </c>
      <c r="S996" t="s">
        <v>2870</v>
      </c>
      <c r="T996" t="s">
        <v>3746</v>
      </c>
      <c r="U996" t="s">
        <v>3746</v>
      </c>
      <c r="V996" t="s">
        <v>3746</v>
      </c>
      <c r="W996" t="s">
        <v>4732</v>
      </c>
      <c r="X996">
        <v>3</v>
      </c>
      <c r="Y996" t="s">
        <v>6532</v>
      </c>
      <c r="Z996" t="s">
        <v>8384</v>
      </c>
      <c r="AA996">
        <v>1.446379498976458</v>
      </c>
      <c r="AB996" t="str">
        <f>HYPERLINK("Melting_Curves/meltCurve_P15170_2_GSPT1.pdf", "Melting_Curves/meltCurve_P15170_2_GSPT1.pdf")</f>
        <v>Melting_Curves/meltCurve_P15170_2_GSPT1.pdf</v>
      </c>
    </row>
    <row r="997" spans="1:28" x14ac:dyDescent="0.25">
      <c r="A997" t="s">
        <v>1001</v>
      </c>
      <c r="B997">
        <v>1</v>
      </c>
      <c r="C997">
        <v>1.37171293871137</v>
      </c>
      <c r="D997">
        <v>2.21494674349572</v>
      </c>
      <c r="E997">
        <v>3.1978348175309899</v>
      </c>
      <c r="F997">
        <v>2.0921948664222101</v>
      </c>
      <c r="G997">
        <v>2.5510738606600301</v>
      </c>
      <c r="H997">
        <v>1.5533263488737601</v>
      </c>
      <c r="I997">
        <v>2.2792037716081701</v>
      </c>
      <c r="J997">
        <v>2.1995809324253499</v>
      </c>
      <c r="K997">
        <v>2.1011000523834502</v>
      </c>
      <c r="S997" t="s">
        <v>2871</v>
      </c>
      <c r="T997" t="s">
        <v>3746</v>
      </c>
      <c r="U997" t="s">
        <v>3747</v>
      </c>
      <c r="V997" t="s">
        <v>3746</v>
      </c>
      <c r="W997" t="s">
        <v>4733</v>
      </c>
      <c r="X997">
        <v>11</v>
      </c>
      <c r="Y997" t="s">
        <v>6533</v>
      </c>
      <c r="Z997" t="s">
        <v>8385</v>
      </c>
      <c r="AB997" t="str">
        <f>HYPERLINK("Melting_Curves/meltCurve_P15289_ARSA.pdf", "Melting_Curves/meltCurve_P15289_ARSA.pdf")</f>
        <v>Melting_Curves/meltCurve_P15289_ARSA.pdf</v>
      </c>
    </row>
    <row r="998" spans="1:28" x14ac:dyDescent="0.25">
      <c r="A998" t="s">
        <v>1002</v>
      </c>
      <c r="B998">
        <v>1</v>
      </c>
      <c r="C998">
        <v>0.99666082310710402</v>
      </c>
      <c r="D998">
        <v>1.2793221470907401</v>
      </c>
      <c r="E998">
        <v>1.50125219133484</v>
      </c>
      <c r="F998">
        <v>1.0765088905584801</v>
      </c>
      <c r="G998">
        <v>1.2185073879288799</v>
      </c>
      <c r="H998">
        <v>1.73495283412639</v>
      </c>
      <c r="I998">
        <v>3.3880540946656601</v>
      </c>
      <c r="J998">
        <v>3.71546038901411</v>
      </c>
      <c r="K998">
        <v>3.4825945404457799</v>
      </c>
      <c r="L998">
        <v>1090.3845373901499</v>
      </c>
      <c r="M998">
        <v>23.4916510503955</v>
      </c>
      <c r="O998">
        <v>46.083385724190499</v>
      </c>
      <c r="P998">
        <v>6.3721566660622606E-2</v>
      </c>
      <c r="Q998">
        <v>1.5</v>
      </c>
      <c r="R998">
        <v>-0.121147101025449</v>
      </c>
      <c r="S998" t="s">
        <v>2872</v>
      </c>
      <c r="T998" t="s">
        <v>3746</v>
      </c>
      <c r="U998" t="s">
        <v>3746</v>
      </c>
      <c r="V998" t="s">
        <v>3746</v>
      </c>
      <c r="W998" t="s">
        <v>4734</v>
      </c>
      <c r="X998">
        <v>8</v>
      </c>
      <c r="Y998" t="s">
        <v>6534</v>
      </c>
      <c r="Z998" t="s">
        <v>8386</v>
      </c>
      <c r="AA998">
        <v>1.387845439332124</v>
      </c>
      <c r="AB998" t="str">
        <f>HYPERLINK("Melting_Curves/meltCurve_P15291_2_B4GALT1.pdf", "Melting_Curves/meltCurve_P15291_2_B4GALT1.pdf")</f>
        <v>Melting_Curves/meltCurve_P15291_2_B4GALT1.pdf</v>
      </c>
    </row>
    <row r="999" spans="1:28" x14ac:dyDescent="0.25">
      <c r="A999" t="s">
        <v>1003</v>
      </c>
      <c r="B999">
        <v>1</v>
      </c>
      <c r="C999">
        <v>0.89867338011319997</v>
      </c>
      <c r="D999">
        <v>1.28798185941043</v>
      </c>
      <c r="E999">
        <v>1.6450800792758</v>
      </c>
      <c r="F999">
        <v>1.44956880389951</v>
      </c>
      <c r="G999">
        <v>1.6775224525505701</v>
      </c>
      <c r="H999">
        <v>1.53795061331619</v>
      </c>
      <c r="I999">
        <v>1.9915367721891899</v>
      </c>
      <c r="J999">
        <v>2.2291856375096</v>
      </c>
      <c r="K999">
        <v>1.9483278875854799</v>
      </c>
      <c r="L999">
        <v>11485.9136230923</v>
      </c>
      <c r="M999">
        <v>250</v>
      </c>
      <c r="O999">
        <v>45.9407149827654</v>
      </c>
      <c r="P999">
        <v>0.68022451201508105</v>
      </c>
      <c r="Q999">
        <v>1.5</v>
      </c>
      <c r="R999">
        <v>0.36635274669637902</v>
      </c>
      <c r="S999" t="s">
        <v>2873</v>
      </c>
      <c r="T999" t="s">
        <v>3746</v>
      </c>
      <c r="U999" t="s">
        <v>3746</v>
      </c>
      <c r="V999" t="s">
        <v>3746</v>
      </c>
      <c r="W999" t="s">
        <v>4735</v>
      </c>
      <c r="X999">
        <v>28</v>
      </c>
      <c r="Y999" t="s">
        <v>6535</v>
      </c>
      <c r="Z999" t="s">
        <v>8387</v>
      </c>
      <c r="AA999">
        <v>1.40089877659455</v>
      </c>
      <c r="AB999" t="str">
        <f>HYPERLINK("Melting_Curves/meltCurve_P15311_EZR.pdf", "Melting_Curves/meltCurve_P15311_EZR.pdf")</f>
        <v>Melting_Curves/meltCurve_P15311_EZR.pdf</v>
      </c>
    </row>
    <row r="1000" spans="1:28" x14ac:dyDescent="0.25">
      <c r="A1000" t="s">
        <v>1004</v>
      </c>
      <c r="B1000">
        <v>1</v>
      </c>
      <c r="C1000">
        <v>0.94630872483221495</v>
      </c>
      <c r="D1000">
        <v>1.25167785234899</v>
      </c>
      <c r="E1000">
        <v>1.41719798657718</v>
      </c>
      <c r="F1000">
        <v>0.95964765100671101</v>
      </c>
      <c r="G1000">
        <v>1.04924496644295</v>
      </c>
      <c r="H1000">
        <v>0.66052852348993296</v>
      </c>
      <c r="I1000">
        <v>0.97969798657718099</v>
      </c>
      <c r="J1000">
        <v>1.02181208053691</v>
      </c>
      <c r="K1000">
        <v>0.93406040268456403</v>
      </c>
      <c r="L1000">
        <v>14687.9734030376</v>
      </c>
      <c r="M1000">
        <v>250</v>
      </c>
      <c r="O1000">
        <v>58.748133895438102</v>
      </c>
      <c r="P1000">
        <v>-0.107414216197894</v>
      </c>
      <c r="Q1000">
        <v>0.89903384405627995</v>
      </c>
      <c r="R1000">
        <v>9.9807647052444604E-2</v>
      </c>
      <c r="S1000" t="s">
        <v>2874</v>
      </c>
      <c r="T1000" t="s">
        <v>3746</v>
      </c>
      <c r="U1000" t="s">
        <v>3746</v>
      </c>
      <c r="V1000" t="s">
        <v>3746</v>
      </c>
      <c r="W1000" t="s">
        <v>4736</v>
      </c>
      <c r="X1000">
        <v>10</v>
      </c>
      <c r="Y1000" t="s">
        <v>6536</v>
      </c>
      <c r="Z1000" t="s">
        <v>8388</v>
      </c>
      <c r="AA1000">
        <v>0.96215447503069518</v>
      </c>
      <c r="AB1000" t="str">
        <f>HYPERLINK("Melting_Curves/meltCurve_P15328_FOLR1.pdf", "Melting_Curves/meltCurve_P15328_FOLR1.pdf")</f>
        <v>Melting_Curves/meltCurve_P15328_FOLR1.pdf</v>
      </c>
    </row>
    <row r="1001" spans="1:28" x14ac:dyDescent="0.25">
      <c r="A1001" t="s">
        <v>1005</v>
      </c>
      <c r="B1001">
        <v>1</v>
      </c>
      <c r="C1001">
        <v>1.1075497084765999</v>
      </c>
      <c r="D1001">
        <v>1.5204963372701401</v>
      </c>
      <c r="E1001">
        <v>2.22164748093885</v>
      </c>
      <c r="F1001">
        <v>1.8583943788309201</v>
      </c>
      <c r="G1001">
        <v>2.1979369113469902</v>
      </c>
      <c r="H1001">
        <v>1.21584691284198</v>
      </c>
      <c r="I1001">
        <v>2.03157422634176</v>
      </c>
      <c r="J1001">
        <v>1.8825235461205001</v>
      </c>
      <c r="K1001">
        <v>1.7524592614740599</v>
      </c>
      <c r="L1001">
        <v>10780.532184788301</v>
      </c>
      <c r="M1001">
        <v>250</v>
      </c>
      <c r="O1001">
        <v>43.119369213825202</v>
      </c>
      <c r="P1001">
        <v>0.72473230963110802</v>
      </c>
      <c r="Q1001">
        <v>1.5</v>
      </c>
      <c r="R1001">
        <v>4.6909338915011402E-2</v>
      </c>
      <c r="S1001" t="s">
        <v>2875</v>
      </c>
      <c r="T1001" t="s">
        <v>3746</v>
      </c>
      <c r="U1001" t="s">
        <v>3746</v>
      </c>
      <c r="V1001" t="s">
        <v>3746</v>
      </c>
      <c r="W1001" t="s">
        <v>4737</v>
      </c>
      <c r="X1001">
        <v>6</v>
      </c>
      <c r="Y1001" t="s">
        <v>6537</v>
      </c>
      <c r="Z1001" t="s">
        <v>8389</v>
      </c>
      <c r="AA1001">
        <v>1.447926681673475</v>
      </c>
      <c r="AB1001" t="str">
        <f>HYPERLINK("Melting_Curves/meltCurve_P15374_UCHL3.pdf", "Melting_Curves/meltCurve_P15374_UCHL3.pdf")</f>
        <v>Melting_Curves/meltCurve_P15374_UCHL3.pdf</v>
      </c>
    </row>
    <row r="1002" spans="1:28" x14ac:dyDescent="0.25">
      <c r="A1002" t="s">
        <v>1006</v>
      </c>
      <c r="B1002">
        <v>1</v>
      </c>
      <c r="C1002">
        <v>1.10667899012502</v>
      </c>
      <c r="D1002">
        <v>1.5552366590455799</v>
      </c>
      <c r="E1002">
        <v>1.8512915308654001</v>
      </c>
      <c r="F1002">
        <v>1.2043099674077</v>
      </c>
      <c r="G1002">
        <v>1.1364012258598</v>
      </c>
      <c r="H1002">
        <v>0.79778177749671597</v>
      </c>
      <c r="I1002">
        <v>1.29488738629177</v>
      </c>
      <c r="J1002">
        <v>1.40813348251204</v>
      </c>
      <c r="K1002">
        <v>1.2961521622804899</v>
      </c>
      <c r="L1002">
        <v>10754.3293438766</v>
      </c>
      <c r="M1002">
        <v>250</v>
      </c>
      <c r="O1002">
        <v>43.014564980218402</v>
      </c>
      <c r="P1002">
        <v>0.46208806656483198</v>
      </c>
      <c r="Q1002">
        <v>1.31802427111895</v>
      </c>
      <c r="R1002">
        <v>0.150208517449262</v>
      </c>
      <c r="S1002" t="s">
        <v>2876</v>
      </c>
      <c r="T1002" t="s">
        <v>3746</v>
      </c>
      <c r="U1002" t="s">
        <v>3746</v>
      </c>
      <c r="V1002" t="s">
        <v>3746</v>
      </c>
      <c r="W1002" t="s">
        <v>4738</v>
      </c>
      <c r="X1002">
        <v>3</v>
      </c>
      <c r="Y1002" t="s">
        <v>6538</v>
      </c>
      <c r="Z1002" t="s">
        <v>8390</v>
      </c>
      <c r="AA1002">
        <v>1.286014256652082</v>
      </c>
      <c r="AB1002" t="str">
        <f>HYPERLINK("Melting_Curves/meltCurve_P15509_3_CSF2RA.pdf", "Melting_Curves/meltCurve_P15509_3_CSF2RA.pdf")</f>
        <v>Melting_Curves/meltCurve_P15509_3_CSF2RA.pdf</v>
      </c>
    </row>
    <row r="1003" spans="1:28" x14ac:dyDescent="0.25">
      <c r="A1003" t="s">
        <v>1007</v>
      </c>
      <c r="B1003">
        <v>1</v>
      </c>
      <c r="C1003">
        <v>1.1449429657794701</v>
      </c>
      <c r="D1003">
        <v>1.39898605830165</v>
      </c>
      <c r="E1003">
        <v>1.3972116603295299</v>
      </c>
      <c r="F1003">
        <v>1.1115335868187599</v>
      </c>
      <c r="G1003">
        <v>1.0389733840304201</v>
      </c>
      <c r="H1003">
        <v>0.66735107731305399</v>
      </c>
      <c r="I1003">
        <v>1.0628010139416999</v>
      </c>
      <c r="J1003">
        <v>1.1179087452471499</v>
      </c>
      <c r="K1003">
        <v>0.969024081115336</v>
      </c>
      <c r="L1003">
        <v>10242.584965588499</v>
      </c>
      <c r="M1003">
        <v>250</v>
      </c>
      <c r="O1003">
        <v>40.967718851299502</v>
      </c>
      <c r="P1003">
        <v>0.154039438489529</v>
      </c>
      <c r="Q1003">
        <v>1.1009703083926801</v>
      </c>
      <c r="R1003">
        <v>2.3006426219502E-2</v>
      </c>
      <c r="S1003" t="s">
        <v>2877</v>
      </c>
      <c r="T1003" t="s">
        <v>3746</v>
      </c>
      <c r="U1003" t="s">
        <v>3746</v>
      </c>
      <c r="V1003" t="s">
        <v>3746</v>
      </c>
      <c r="W1003" t="s">
        <v>4739</v>
      </c>
      <c r="X1003">
        <v>1</v>
      </c>
      <c r="Y1003" t="s">
        <v>6539</v>
      </c>
      <c r="Z1003" t="s">
        <v>8391</v>
      </c>
      <c r="AA1003">
        <v>1.0976959870737271</v>
      </c>
      <c r="AB1003" t="str">
        <f>HYPERLINK("Melting_Curves/meltCurve_P15529_16_CD46.pdf", "Melting_Curves/meltCurve_P15529_16_CD46.pdf")</f>
        <v>Melting_Curves/meltCurve_P15529_16_CD46.pdf</v>
      </c>
    </row>
    <row r="1004" spans="1:28" x14ac:dyDescent="0.25">
      <c r="A1004" t="s">
        <v>1008</v>
      </c>
      <c r="B1004">
        <v>1</v>
      </c>
      <c r="C1004">
        <v>1.0209486757444299</v>
      </c>
      <c r="D1004">
        <v>1.3197291635493</v>
      </c>
      <c r="E1004">
        <v>1.4815202753254499</v>
      </c>
      <c r="F1004">
        <v>1.16194074517432</v>
      </c>
      <c r="G1004">
        <v>1.37823582223552</v>
      </c>
      <c r="H1004">
        <v>0.570439922190633</v>
      </c>
      <c r="I1004">
        <v>1.1070626963938399</v>
      </c>
      <c r="J1004">
        <v>1.0668487206344499</v>
      </c>
      <c r="K1004">
        <v>0.93591949723178203</v>
      </c>
      <c r="L1004">
        <v>15000</v>
      </c>
      <c r="M1004">
        <v>211.60423833071999</v>
      </c>
      <c r="Q1004">
        <v>0</v>
      </c>
      <c r="R1004">
        <v>-0.174440145929283</v>
      </c>
      <c r="S1004" t="s">
        <v>2878</v>
      </c>
      <c r="T1004" t="s">
        <v>3746</v>
      </c>
      <c r="U1004" t="s">
        <v>3746</v>
      </c>
      <c r="V1004" t="s">
        <v>3746</v>
      </c>
      <c r="W1004" t="s">
        <v>4740</v>
      </c>
      <c r="X1004">
        <v>1</v>
      </c>
      <c r="Y1004" t="s">
        <v>6540</v>
      </c>
      <c r="Z1004" t="s">
        <v>8392</v>
      </c>
      <c r="AA1004">
        <v>0.99928568227940218</v>
      </c>
      <c r="AB1004" t="str">
        <f>HYPERLINK("Melting_Curves/meltCurve_P15814_IGLL1.pdf", "Melting_Curves/meltCurve_P15814_IGLL1.pdf")</f>
        <v>Melting_Curves/meltCurve_P15814_IGLL1.pdf</v>
      </c>
    </row>
    <row r="1005" spans="1:28" x14ac:dyDescent="0.25">
      <c r="A1005" t="s">
        <v>1009</v>
      </c>
      <c r="B1005">
        <v>1</v>
      </c>
      <c r="C1005">
        <v>1.03611236133542</v>
      </c>
      <c r="D1005">
        <v>0.74814010748987303</v>
      </c>
      <c r="E1005">
        <v>1.4184427206057599</v>
      </c>
      <c r="F1005">
        <v>0.67085859521855395</v>
      </c>
      <c r="G1005">
        <v>0.88800931931905402</v>
      </c>
      <c r="H1005">
        <v>0.76466071854067896</v>
      </c>
      <c r="I1005">
        <v>0.63591114876492505</v>
      </c>
      <c r="J1005">
        <v>0.89928781340181596</v>
      </c>
      <c r="K1005">
        <v>1.5680813322390199</v>
      </c>
      <c r="L1005">
        <v>15000</v>
      </c>
      <c r="M1005">
        <v>218.902342016186</v>
      </c>
      <c r="O1005">
        <v>68.5179878603372</v>
      </c>
      <c r="P1005">
        <v>0.39935196024066499</v>
      </c>
      <c r="Q1005">
        <v>1.5</v>
      </c>
      <c r="R1005">
        <v>0.349122668748373</v>
      </c>
      <c r="S1005" t="s">
        <v>2879</v>
      </c>
      <c r="T1005" t="s">
        <v>3746</v>
      </c>
      <c r="U1005" t="s">
        <v>3746</v>
      </c>
      <c r="V1005" t="s">
        <v>3746</v>
      </c>
      <c r="W1005" t="s">
        <v>4741</v>
      </c>
      <c r="X1005">
        <v>2</v>
      </c>
      <c r="Y1005" t="s">
        <v>6541</v>
      </c>
      <c r="Z1005" t="s">
        <v>8393</v>
      </c>
      <c r="AA1005">
        <v>1.0245805155187131</v>
      </c>
      <c r="AB1005" t="str">
        <f>HYPERLINK("Melting_Curves/meltCurve_P15924_2_DSP.pdf", "Melting_Curves/meltCurve_P15924_2_DSP.pdf")</f>
        <v>Melting_Curves/meltCurve_P15924_2_DSP.pdf</v>
      </c>
    </row>
    <row r="1006" spans="1:28" x14ac:dyDescent="0.25">
      <c r="A1006" t="s">
        <v>1010</v>
      </c>
      <c r="B1006">
        <v>1</v>
      </c>
      <c r="C1006">
        <v>1.07055647039625</v>
      </c>
      <c r="D1006">
        <v>1.6407791475662801</v>
      </c>
      <c r="E1006">
        <v>1.9073686709095501</v>
      </c>
      <c r="F1006">
        <v>1.32035248564689</v>
      </c>
      <c r="G1006">
        <v>1.53352025754002</v>
      </c>
      <c r="H1006">
        <v>0.96831189639058302</v>
      </c>
      <c r="I1006">
        <v>1.30219413414037</v>
      </c>
      <c r="J1006">
        <v>1.3570845757859</v>
      </c>
      <c r="K1006">
        <v>1.33686412390405</v>
      </c>
      <c r="L1006">
        <v>10793.7359592139</v>
      </c>
      <c r="M1006">
        <v>250</v>
      </c>
      <c r="O1006">
        <v>43.172177891310497</v>
      </c>
      <c r="P1006">
        <v>0.60920221299640398</v>
      </c>
      <c r="Q1006">
        <v>1.42080941010747</v>
      </c>
      <c r="R1006">
        <v>0.30881156824776002</v>
      </c>
      <c r="S1006" t="s">
        <v>2880</v>
      </c>
      <c r="T1006" t="s">
        <v>3746</v>
      </c>
      <c r="U1006" t="s">
        <v>3746</v>
      </c>
      <c r="V1006" t="s">
        <v>3746</v>
      </c>
      <c r="W1006" t="s">
        <v>4742</v>
      </c>
      <c r="X1006">
        <v>6</v>
      </c>
      <c r="Y1006" t="s">
        <v>5655</v>
      </c>
      <c r="Z1006" t="s">
        <v>8394</v>
      </c>
      <c r="AA1006">
        <v>1.376242650033126</v>
      </c>
      <c r="AB1006" t="str">
        <f>HYPERLINK("Melting_Curves/meltCurve_P15941_13_MUC1.pdf", "Melting_Curves/meltCurve_P15941_13_MUC1.pdf")</f>
        <v>Melting_Curves/meltCurve_P15941_13_MUC1.pdf</v>
      </c>
    </row>
    <row r="1007" spans="1:28" x14ac:dyDescent="0.25">
      <c r="A1007" t="s">
        <v>1011</v>
      </c>
      <c r="B1007">
        <v>1</v>
      </c>
      <c r="C1007">
        <v>0.961163619232694</v>
      </c>
      <c r="D1007">
        <v>1.1545799841003399</v>
      </c>
      <c r="E1007">
        <v>1.29049259488267</v>
      </c>
      <c r="F1007">
        <v>0.583252362865471</v>
      </c>
      <c r="G1007">
        <v>0.86944616199982305</v>
      </c>
      <c r="H1007">
        <v>0.52383476135794804</v>
      </c>
      <c r="I1007">
        <v>0.99116685805140903</v>
      </c>
      <c r="J1007">
        <v>0.81488678856402597</v>
      </c>
      <c r="K1007">
        <v>0.91449518593763801</v>
      </c>
      <c r="L1007">
        <v>4593.2586894248097</v>
      </c>
      <c r="M1007">
        <v>89.065736229765704</v>
      </c>
      <c r="O1007">
        <v>51.545579107871397</v>
      </c>
      <c r="P1007">
        <v>-9.2619131136914307E-2</v>
      </c>
      <c r="Q1007">
        <v>0.78559180663296202</v>
      </c>
      <c r="R1007">
        <v>0.38416260111565897</v>
      </c>
      <c r="S1007" t="s">
        <v>2881</v>
      </c>
      <c r="T1007" t="s">
        <v>3746</v>
      </c>
      <c r="U1007" t="s">
        <v>3746</v>
      </c>
      <c r="V1007" t="s">
        <v>3746</v>
      </c>
      <c r="W1007" t="s">
        <v>4743</v>
      </c>
      <c r="X1007">
        <v>1</v>
      </c>
      <c r="Y1007" t="s">
        <v>6542</v>
      </c>
      <c r="Z1007" t="s">
        <v>8395</v>
      </c>
      <c r="AA1007">
        <v>0.86844615247768731</v>
      </c>
      <c r="AB1007" t="str">
        <f>HYPERLINK("Melting_Curves/meltCurve_P16035_TIMP2.pdf", "Melting_Curves/meltCurve_P16035_TIMP2.pdf")</f>
        <v>Melting_Curves/meltCurve_P16035_TIMP2.pdf</v>
      </c>
    </row>
    <row r="1008" spans="1:28" x14ac:dyDescent="0.25">
      <c r="A1008" t="s">
        <v>1012</v>
      </c>
      <c r="B1008">
        <v>1</v>
      </c>
      <c r="C1008">
        <v>1.03472344937268</v>
      </c>
      <c r="D1008">
        <v>1.5733345113977699</v>
      </c>
      <c r="E1008">
        <v>2.0051245803145399</v>
      </c>
      <c r="F1008">
        <v>1.65621134476056</v>
      </c>
      <c r="G1008">
        <v>1.8747128467927201</v>
      </c>
      <c r="H1008">
        <v>1.3447163809860401</v>
      </c>
      <c r="I1008">
        <v>2.1684043117158498</v>
      </c>
      <c r="J1008">
        <v>2.1922159392118701</v>
      </c>
      <c r="K1008">
        <v>2.0049920480650298</v>
      </c>
      <c r="L1008">
        <v>10836.334040621099</v>
      </c>
      <c r="M1008">
        <v>250</v>
      </c>
      <c r="O1008">
        <v>43.342563453964999</v>
      </c>
      <c r="P1008">
        <v>0.72100029031664004</v>
      </c>
      <c r="Q1008">
        <v>1.5</v>
      </c>
      <c r="R1008">
        <v>6.9931588914341702E-2</v>
      </c>
      <c r="S1008" t="s">
        <v>2882</v>
      </c>
      <c r="T1008" t="s">
        <v>3746</v>
      </c>
      <c r="U1008" t="s">
        <v>3746</v>
      </c>
      <c r="V1008" t="s">
        <v>3746</v>
      </c>
      <c r="W1008" t="s">
        <v>4744</v>
      </c>
      <c r="X1008">
        <v>7</v>
      </c>
      <c r="Y1008" t="s">
        <v>6543</v>
      </c>
      <c r="Z1008" t="s">
        <v>8396</v>
      </c>
      <c r="AA1008">
        <v>1.444206362094721</v>
      </c>
      <c r="AB1008" t="str">
        <f>HYPERLINK("Melting_Curves/meltCurve_P16152_CBR1.pdf", "Melting_Curves/meltCurve_P16152_CBR1.pdf")</f>
        <v>Melting_Curves/meltCurve_P16152_CBR1.pdf</v>
      </c>
    </row>
    <row r="1009" spans="1:28" x14ac:dyDescent="0.25">
      <c r="A1009" t="s">
        <v>1013</v>
      </c>
      <c r="B1009">
        <v>1</v>
      </c>
      <c r="C1009">
        <v>1.07954684879964</v>
      </c>
      <c r="D1009">
        <v>1.54034599811869</v>
      </c>
      <c r="E1009">
        <v>1.83256308535438</v>
      </c>
      <c r="F1009">
        <v>1.2399901844505301</v>
      </c>
      <c r="G1009">
        <v>1.4878328084740899</v>
      </c>
      <c r="H1009">
        <v>0.850026583779805</v>
      </c>
      <c r="I1009">
        <v>1.3412130383215399</v>
      </c>
      <c r="J1009">
        <v>1.3420310007770599</v>
      </c>
      <c r="K1009">
        <v>1.23377366978856</v>
      </c>
      <c r="L1009">
        <v>10778.8221265542</v>
      </c>
      <c r="M1009">
        <v>250</v>
      </c>
      <c r="O1009">
        <v>43.112529430253197</v>
      </c>
      <c r="P1009">
        <v>0.51967497965875997</v>
      </c>
      <c r="Q1009">
        <v>1.3584720451177099</v>
      </c>
      <c r="R1009">
        <v>0.22728647004288099</v>
      </c>
      <c r="S1009" t="s">
        <v>2883</v>
      </c>
      <c r="T1009" t="s">
        <v>3746</v>
      </c>
      <c r="U1009" t="s">
        <v>3746</v>
      </c>
      <c r="V1009" t="s">
        <v>3746</v>
      </c>
      <c r="W1009" t="s">
        <v>4745</v>
      </c>
      <c r="X1009">
        <v>13</v>
      </c>
      <c r="Y1009" t="s">
        <v>6544</v>
      </c>
      <c r="Z1009" t="s">
        <v>8397</v>
      </c>
      <c r="AA1009">
        <v>1.32122012599724</v>
      </c>
      <c r="AB1009" t="str">
        <f>HYPERLINK("Melting_Curves/meltCurve_P16278_3_GLB1.pdf", "Melting_Curves/meltCurve_P16278_3_GLB1.pdf")</f>
        <v>Melting_Curves/meltCurve_P16278_3_GLB1.pdf</v>
      </c>
    </row>
    <row r="1010" spans="1:28" x14ac:dyDescent="0.25">
      <c r="A1010" t="s">
        <v>1014</v>
      </c>
      <c r="B1010">
        <v>1</v>
      </c>
      <c r="C1010">
        <v>0.85652151924341302</v>
      </c>
      <c r="D1010">
        <v>1.16578162140292</v>
      </c>
      <c r="E1010">
        <v>1.5694634097000999</v>
      </c>
      <c r="F1010">
        <v>1.0329742578263299</v>
      </c>
      <c r="G1010">
        <v>0.91837353967531499</v>
      </c>
      <c r="H1010">
        <v>0.46634299297021198</v>
      </c>
      <c r="I1010">
        <v>0.91513680271076703</v>
      </c>
      <c r="J1010">
        <v>0.928134324584029</v>
      </c>
      <c r="K1010">
        <v>0.77969959035047798</v>
      </c>
      <c r="L1010">
        <v>14283.1602554244</v>
      </c>
      <c r="M1010">
        <v>250</v>
      </c>
      <c r="O1010">
        <v>57.1289692925778</v>
      </c>
      <c r="P1010">
        <v>-0.24907622995651699</v>
      </c>
      <c r="Q1010">
        <v>0.772328445072065</v>
      </c>
      <c r="R1010">
        <v>0.28147308076091099</v>
      </c>
      <c r="S1010" t="s">
        <v>2884</v>
      </c>
      <c r="T1010" t="s">
        <v>3746</v>
      </c>
      <c r="U1010" t="s">
        <v>3746</v>
      </c>
      <c r="V1010" t="s">
        <v>3746</v>
      </c>
      <c r="W1010" t="s">
        <v>4746</v>
      </c>
      <c r="X1010">
        <v>1</v>
      </c>
      <c r="Y1010" t="s">
        <v>6545</v>
      </c>
      <c r="Z1010" t="s">
        <v>8398</v>
      </c>
      <c r="AA1010">
        <v>0.90237177370654309</v>
      </c>
      <c r="AB1010" t="str">
        <f>HYPERLINK("Melting_Curves/meltCurve_P16284_3_PECAM1.pdf", "Melting_Curves/meltCurve_P16284_3_PECAM1.pdf")</f>
        <v>Melting_Curves/meltCurve_P16284_3_PECAM1.pdf</v>
      </c>
    </row>
    <row r="1011" spans="1:28" x14ac:dyDescent="0.25">
      <c r="A1011" t="s">
        <v>1015</v>
      </c>
      <c r="B1011">
        <v>1</v>
      </c>
      <c r="C1011">
        <v>1.11445501885437</v>
      </c>
      <c r="D1011">
        <v>1.34255102651583</v>
      </c>
      <c r="E1011">
        <v>1.78919015981325</v>
      </c>
      <c r="F1011">
        <v>1.41713054408332</v>
      </c>
      <c r="G1011">
        <v>1.5034416711558001</v>
      </c>
      <c r="H1011">
        <v>0.74160531513736805</v>
      </c>
      <c r="I1011">
        <v>1.2199676782187101</v>
      </c>
      <c r="J1011">
        <v>1.24845872987371</v>
      </c>
      <c r="K1011">
        <v>1.1873825342670701</v>
      </c>
      <c r="L1011">
        <v>10747.139293201801</v>
      </c>
      <c r="M1011">
        <v>250</v>
      </c>
      <c r="O1011">
        <v>42.985806158939397</v>
      </c>
      <c r="P1011">
        <v>0.44522830175994699</v>
      </c>
      <c r="Q1011">
        <v>1.3062159594792</v>
      </c>
      <c r="R1011">
        <v>0.143826479348377</v>
      </c>
      <c r="S1011" t="s">
        <v>2885</v>
      </c>
      <c r="T1011" t="s">
        <v>3746</v>
      </c>
      <c r="U1011" t="s">
        <v>3746</v>
      </c>
      <c r="V1011" t="s">
        <v>3746</v>
      </c>
      <c r="W1011" t="s">
        <v>4747</v>
      </c>
      <c r="X1011">
        <v>2</v>
      </c>
      <c r="Y1011" t="s">
        <v>6546</v>
      </c>
      <c r="Z1011" t="s">
        <v>8399</v>
      </c>
      <c r="AA1011">
        <v>1.2756880604968599</v>
      </c>
      <c r="AB1011" t="str">
        <f>HYPERLINK("Melting_Curves/meltCurve_P16401_HIST1H1B.pdf", "Melting_Curves/meltCurve_P16401_HIST1H1B.pdf")</f>
        <v>Melting_Curves/meltCurve_P16401_HIST1H1B.pdf</v>
      </c>
    </row>
    <row r="1012" spans="1:28" x14ac:dyDescent="0.25">
      <c r="A1012" t="s">
        <v>1016</v>
      </c>
      <c r="B1012">
        <v>1</v>
      </c>
      <c r="C1012">
        <v>1.15172092403968</v>
      </c>
      <c r="D1012">
        <v>1.34634844550962</v>
      </c>
      <c r="E1012">
        <v>1.42943212835364</v>
      </c>
      <c r="F1012">
        <v>0.97566739897476895</v>
      </c>
      <c r="G1012">
        <v>1.1525863790693001</v>
      </c>
      <c r="H1012">
        <v>0.66992876639371501</v>
      </c>
      <c r="I1012">
        <v>0.98142600359496701</v>
      </c>
      <c r="J1012">
        <v>1.0693029758338299</v>
      </c>
      <c r="K1012">
        <v>0.98608614606218004</v>
      </c>
      <c r="L1012">
        <v>10234.729931391401</v>
      </c>
      <c r="M1012">
        <v>250</v>
      </c>
      <c r="O1012">
        <v>40.936300008241297</v>
      </c>
      <c r="P1012">
        <v>0.12935047348024301</v>
      </c>
      <c r="Q1012">
        <v>1.0847220763071299</v>
      </c>
      <c r="R1012">
        <v>1.5855911288776701E-2</v>
      </c>
      <c r="S1012" t="s">
        <v>2886</v>
      </c>
      <c r="T1012" t="s">
        <v>3746</v>
      </c>
      <c r="U1012" t="s">
        <v>3746</v>
      </c>
      <c r="V1012" t="s">
        <v>3746</v>
      </c>
      <c r="W1012" t="s">
        <v>4748</v>
      </c>
      <c r="X1012">
        <v>3</v>
      </c>
      <c r="Y1012" t="s">
        <v>6547</v>
      </c>
      <c r="Z1012" t="s">
        <v>8400</v>
      </c>
      <c r="AA1012">
        <v>1.0820631779292169</v>
      </c>
      <c r="AB1012" t="str">
        <f>HYPERLINK("Melting_Curves/meltCurve_P16403_HIST1H1C.pdf", "Melting_Curves/meltCurve_P16403_HIST1H1C.pdf")</f>
        <v>Melting_Curves/meltCurve_P16403_HIST1H1C.pdf</v>
      </c>
    </row>
    <row r="1013" spans="1:28" x14ac:dyDescent="0.25">
      <c r="A1013" t="s">
        <v>1017</v>
      </c>
      <c r="B1013">
        <v>1</v>
      </c>
      <c r="C1013">
        <v>1.07083568728</v>
      </c>
      <c r="D1013">
        <v>1.3879738675705799</v>
      </c>
      <c r="E1013">
        <v>1.59373053467182</v>
      </c>
      <c r="F1013">
        <v>1.0820477163095901</v>
      </c>
      <c r="G1013">
        <v>1.25544304897658</v>
      </c>
      <c r="H1013">
        <v>0.95112482435936396</v>
      </c>
      <c r="I1013">
        <v>1.23496009155042</v>
      </c>
      <c r="J1013">
        <v>1.1673692292092199</v>
      </c>
      <c r="K1013">
        <v>1.19922355974679</v>
      </c>
      <c r="L1013">
        <v>10760.7912966846</v>
      </c>
      <c r="M1013">
        <v>250</v>
      </c>
      <c r="O1013">
        <v>43.040427956699901</v>
      </c>
      <c r="P1013">
        <v>0.339773864769221</v>
      </c>
      <c r="Q1013">
        <v>1.2339841073215501</v>
      </c>
      <c r="R1013">
        <v>0.20002835462590901</v>
      </c>
      <c r="S1013" t="s">
        <v>2887</v>
      </c>
      <c r="T1013" t="s">
        <v>3746</v>
      </c>
      <c r="U1013" t="s">
        <v>3746</v>
      </c>
      <c r="V1013" t="s">
        <v>3746</v>
      </c>
      <c r="W1013" t="s">
        <v>4749</v>
      </c>
      <c r="X1013">
        <v>2</v>
      </c>
      <c r="Y1013" t="s">
        <v>6548</v>
      </c>
      <c r="Z1013" t="s">
        <v>8401</v>
      </c>
      <c r="AA1013">
        <v>1.21023135581417</v>
      </c>
      <c r="AB1013" t="str">
        <f>HYPERLINK("Melting_Curves/meltCurve_P16444_DPEP1.pdf", "Melting_Curves/meltCurve_P16444_DPEP1.pdf")</f>
        <v>Melting_Curves/meltCurve_P16444_DPEP1.pdf</v>
      </c>
    </row>
    <row r="1014" spans="1:28" x14ac:dyDescent="0.25">
      <c r="A1014" t="s">
        <v>1018</v>
      </c>
      <c r="B1014">
        <v>1</v>
      </c>
      <c r="C1014">
        <v>0.86483435925482</v>
      </c>
      <c r="D1014">
        <v>1.0160695376953399</v>
      </c>
      <c r="E1014">
        <v>1.2420437752359199</v>
      </c>
      <c r="F1014">
        <v>0.86959354891260099</v>
      </c>
      <c r="G1014">
        <v>1.0188156715810099</v>
      </c>
      <c r="H1014">
        <v>0.51291032011077597</v>
      </c>
      <c r="I1014">
        <v>0.841794761400528</v>
      </c>
      <c r="J1014">
        <v>0.72655022748693798</v>
      </c>
      <c r="K1014">
        <v>0.72490952885186</v>
      </c>
      <c r="L1014">
        <v>14667.349289011099</v>
      </c>
      <c r="M1014">
        <v>250</v>
      </c>
      <c r="O1014">
        <v>58.665649987524397</v>
      </c>
      <c r="P1014">
        <v>-0.31796464349875803</v>
      </c>
      <c r="Q1014">
        <v>0.70154239759127401</v>
      </c>
      <c r="R1014">
        <v>0.58922169104489597</v>
      </c>
      <c r="S1014" t="s">
        <v>2888</v>
      </c>
      <c r="T1014" t="s">
        <v>3746</v>
      </c>
      <c r="U1014" t="s">
        <v>3746</v>
      </c>
      <c r="V1014" t="s">
        <v>3746</v>
      </c>
      <c r="W1014" t="s">
        <v>4750</v>
      </c>
      <c r="X1014">
        <v>3</v>
      </c>
      <c r="Y1014" t="s">
        <v>6549</v>
      </c>
      <c r="Z1014" t="s">
        <v>8402</v>
      </c>
      <c r="AA1014">
        <v>0.88730724506401859</v>
      </c>
      <c r="AB1014" t="str">
        <f>HYPERLINK("Melting_Curves/meltCurve_P16989_2_YBX3.pdf", "Melting_Curves/meltCurve_P16989_2_YBX3.pdf")</f>
        <v>Melting_Curves/meltCurve_P16989_2_YBX3.pdf</v>
      </c>
    </row>
    <row r="1015" spans="1:28" x14ac:dyDescent="0.25">
      <c r="A1015" t="s">
        <v>1019</v>
      </c>
      <c r="B1015">
        <v>1</v>
      </c>
      <c r="C1015">
        <v>1.08083223723544</v>
      </c>
      <c r="D1015">
        <v>1.6644744708836501</v>
      </c>
      <c r="E1015">
        <v>2.4123520267846499</v>
      </c>
      <c r="F1015">
        <v>1.99139064928853</v>
      </c>
      <c r="G1015">
        <v>2.2640200884849899</v>
      </c>
      <c r="H1015">
        <v>1.4024871457610899</v>
      </c>
      <c r="I1015">
        <v>2.0278608154968301</v>
      </c>
      <c r="J1015">
        <v>2.03102953485591</v>
      </c>
      <c r="K1015">
        <v>1.9780581131173001</v>
      </c>
      <c r="L1015">
        <v>10795.6087594938</v>
      </c>
      <c r="M1015">
        <v>250</v>
      </c>
      <c r="O1015">
        <v>43.179685399954998</v>
      </c>
      <c r="P1015">
        <v>0.72372018577416697</v>
      </c>
      <c r="Q1015">
        <v>1.5</v>
      </c>
      <c r="R1015">
        <v>-0.185162663018271</v>
      </c>
      <c r="S1015" t="s">
        <v>2889</v>
      </c>
      <c r="T1015" t="s">
        <v>3746</v>
      </c>
      <c r="U1015" t="s">
        <v>3746</v>
      </c>
      <c r="V1015" t="s">
        <v>3746</v>
      </c>
      <c r="W1015" t="s">
        <v>4751</v>
      </c>
      <c r="X1015">
        <v>3</v>
      </c>
      <c r="Y1015" t="s">
        <v>6550</v>
      </c>
      <c r="Z1015" t="s">
        <v>8403</v>
      </c>
      <c r="AA1015">
        <v>1.446921523777394</v>
      </c>
      <c r="AB1015" t="str">
        <f>HYPERLINK("Melting_Curves/meltCurve_P17050_NAGA.pdf", "Melting_Curves/meltCurve_P17050_NAGA.pdf")</f>
        <v>Melting_Curves/meltCurve_P17050_NAGA.pdf</v>
      </c>
    </row>
    <row r="1016" spans="1:28" x14ac:dyDescent="0.25">
      <c r="A1016" t="s">
        <v>1020</v>
      </c>
      <c r="B1016">
        <v>1</v>
      </c>
      <c r="C1016">
        <v>1.23069231830092</v>
      </c>
      <c r="D1016">
        <v>1.8085436491518401</v>
      </c>
      <c r="E1016">
        <v>2.7718590539235999</v>
      </c>
      <c r="F1016">
        <v>1.9274927596193601</v>
      </c>
      <c r="G1016">
        <v>1.64406633567784</v>
      </c>
      <c r="H1016">
        <v>1.81181905944008</v>
      </c>
      <c r="I1016">
        <v>2.2340022065921898</v>
      </c>
      <c r="J1016">
        <v>2.7559991725279298</v>
      </c>
      <c r="K1016">
        <v>2.7277272100399901</v>
      </c>
      <c r="L1016">
        <v>10731.639596011601</v>
      </c>
      <c r="M1016">
        <v>250</v>
      </c>
      <c r="O1016">
        <v>42.923811386993499</v>
      </c>
      <c r="P1016">
        <v>0.72803413862666999</v>
      </c>
      <c r="Q1016">
        <v>1.5</v>
      </c>
      <c r="R1016">
        <v>-0.58940223913380996</v>
      </c>
      <c r="S1016" t="s">
        <v>2890</v>
      </c>
      <c r="T1016" t="s">
        <v>3746</v>
      </c>
      <c r="U1016" t="s">
        <v>3746</v>
      </c>
      <c r="V1016" t="s">
        <v>3746</v>
      </c>
      <c r="W1016" t="s">
        <v>4752</v>
      </c>
      <c r="X1016">
        <v>5</v>
      </c>
      <c r="Y1016" t="s">
        <v>6551</v>
      </c>
      <c r="Z1016" t="s">
        <v>8404</v>
      </c>
      <c r="AA1016">
        <v>1.451186359183539</v>
      </c>
      <c r="AB1016" t="str">
        <f>HYPERLINK("Melting_Curves/meltCurve_P17066_HSPA6.pdf", "Melting_Curves/meltCurve_P17066_HSPA6.pdf")</f>
        <v>Melting_Curves/meltCurve_P17066_HSPA6.pdf</v>
      </c>
    </row>
    <row r="1017" spans="1:28" x14ac:dyDescent="0.25">
      <c r="A1017" t="s">
        <v>1021</v>
      </c>
      <c r="B1017">
        <v>1</v>
      </c>
      <c r="C1017">
        <v>1.25878808168731</v>
      </c>
      <c r="D1017">
        <v>1.7484407742191499</v>
      </c>
      <c r="E1017">
        <v>2.0811169388337101</v>
      </c>
      <c r="F1017">
        <v>1.4218403204007499</v>
      </c>
      <c r="G1017">
        <v>1.6327542808962301</v>
      </c>
      <c r="H1017">
        <v>1.0313085097149399</v>
      </c>
      <c r="I1017">
        <v>1.4865652394946001</v>
      </c>
      <c r="J1017">
        <v>1.44205135835534</v>
      </c>
      <c r="K1017">
        <v>1.3650510235712801</v>
      </c>
      <c r="L1017">
        <v>10721.982672746301</v>
      </c>
      <c r="M1017">
        <v>250</v>
      </c>
      <c r="O1017">
        <v>42.8851861619613</v>
      </c>
      <c r="P1017">
        <v>0.72868985408768205</v>
      </c>
      <c r="Q1017">
        <v>1.5</v>
      </c>
      <c r="R1017">
        <v>0.29633454420935201</v>
      </c>
      <c r="S1017" t="s">
        <v>2891</v>
      </c>
      <c r="T1017" t="s">
        <v>3746</v>
      </c>
      <c r="U1017" t="s">
        <v>3746</v>
      </c>
      <c r="V1017" t="s">
        <v>3746</v>
      </c>
      <c r="W1017" t="s">
        <v>4753</v>
      </c>
      <c r="X1017">
        <v>13</v>
      </c>
      <c r="Y1017" t="s">
        <v>6552</v>
      </c>
      <c r="Z1017" t="s">
        <v>8405</v>
      </c>
      <c r="AA1017">
        <v>1.451830187955693</v>
      </c>
      <c r="AB1017" t="str">
        <f>HYPERLINK("Melting_Curves/meltCurve_P17174_GOT1.pdf", "Melting_Curves/meltCurve_P17174_GOT1.pdf")</f>
        <v>Melting_Curves/meltCurve_P17174_GOT1.pdf</v>
      </c>
    </row>
    <row r="1018" spans="1:28" x14ac:dyDescent="0.25">
      <c r="A1018" t="s">
        <v>1022</v>
      </c>
      <c r="B1018">
        <v>1</v>
      </c>
      <c r="C1018">
        <v>1.0632892947348001</v>
      </c>
      <c r="D1018">
        <v>1.89676024868856</v>
      </c>
      <c r="E1018">
        <v>2.6466873907130402</v>
      </c>
      <c r="F1018">
        <v>2.2253011462988099</v>
      </c>
      <c r="G1018">
        <v>2.3303137750145702</v>
      </c>
      <c r="H1018">
        <v>1.35809694967942</v>
      </c>
      <c r="I1018">
        <v>2.13821157956091</v>
      </c>
      <c r="J1018">
        <v>1.9961142413056101</v>
      </c>
      <c r="K1018">
        <v>1.7315183602098301</v>
      </c>
      <c r="L1018">
        <v>10807.8629415837</v>
      </c>
      <c r="M1018">
        <v>250</v>
      </c>
      <c r="O1018">
        <v>43.228690139189901</v>
      </c>
      <c r="P1018">
        <v>0.72289961762103505</v>
      </c>
      <c r="Q1018">
        <v>1.5</v>
      </c>
      <c r="R1018">
        <v>-0.26060683980451999</v>
      </c>
      <c r="S1018" t="s">
        <v>2892</v>
      </c>
      <c r="T1018" t="s">
        <v>3746</v>
      </c>
      <c r="U1018" t="s">
        <v>3746</v>
      </c>
      <c r="V1018" t="s">
        <v>3746</v>
      </c>
      <c r="W1018" t="s">
        <v>4754</v>
      </c>
      <c r="X1018">
        <v>2</v>
      </c>
      <c r="Y1018" t="s">
        <v>6553</v>
      </c>
      <c r="Z1018" t="s">
        <v>8406</v>
      </c>
      <c r="AA1018">
        <v>1.4461045352944299</v>
      </c>
      <c r="AB1018" t="str">
        <f>HYPERLINK("Melting_Curves/meltCurve_P17655_CAPN2.pdf", "Melting_Curves/meltCurve_P17655_CAPN2.pdf")</f>
        <v>Melting_Curves/meltCurve_P17655_CAPN2.pdf</v>
      </c>
    </row>
    <row r="1019" spans="1:28" x14ac:dyDescent="0.25">
      <c r="A1019" t="s">
        <v>1023</v>
      </c>
      <c r="B1019">
        <v>1</v>
      </c>
      <c r="C1019">
        <v>1.0577123773742401</v>
      </c>
      <c r="D1019">
        <v>1.3527969108745601</v>
      </c>
      <c r="E1019">
        <v>1.5210290127322099</v>
      </c>
      <c r="F1019">
        <v>0.86646837820914202</v>
      </c>
      <c r="G1019">
        <v>0.877635149238155</v>
      </c>
      <c r="H1019">
        <v>0.66160509288248803</v>
      </c>
      <c r="I1019">
        <v>1.0419536631183499</v>
      </c>
      <c r="J1019">
        <v>0.90904821540388203</v>
      </c>
      <c r="K1019">
        <v>0.99180755583385505</v>
      </c>
      <c r="L1019">
        <v>7133.1042862118402</v>
      </c>
      <c r="M1019">
        <v>137.132858865233</v>
      </c>
      <c r="O1019">
        <v>52.004950809508301</v>
      </c>
      <c r="P1019">
        <v>-7.2144146090205696E-2</v>
      </c>
      <c r="Q1019">
        <v>0.89056298415767399</v>
      </c>
      <c r="R1019">
        <v>0.11295271747543099</v>
      </c>
      <c r="S1019" t="s">
        <v>2893</v>
      </c>
      <c r="T1019" t="s">
        <v>3746</v>
      </c>
      <c r="U1019" t="s">
        <v>3746</v>
      </c>
      <c r="V1019" t="s">
        <v>3746</v>
      </c>
      <c r="W1019" t="s">
        <v>4755</v>
      </c>
      <c r="X1019">
        <v>5</v>
      </c>
      <c r="Y1019" t="s">
        <v>6554</v>
      </c>
      <c r="Z1019" t="s">
        <v>8407</v>
      </c>
      <c r="AA1019">
        <v>0.93442941643520538</v>
      </c>
      <c r="AB1019" t="str">
        <f>HYPERLINK("Melting_Curves/meltCurve_P17813_2_ENG.pdf", "Melting_Curves/meltCurve_P17813_2_ENG.pdf")</f>
        <v>Melting_Curves/meltCurve_P17813_2_ENG.pdf</v>
      </c>
    </row>
    <row r="1020" spans="1:28" x14ac:dyDescent="0.25">
      <c r="A1020" t="s">
        <v>1024</v>
      </c>
      <c r="B1020">
        <v>1</v>
      </c>
      <c r="C1020">
        <v>1.0129884577944701</v>
      </c>
      <c r="D1020">
        <v>1.4333194270616001</v>
      </c>
      <c r="E1020">
        <v>2.0832985676540101</v>
      </c>
      <c r="F1020">
        <v>2.0035321930190499</v>
      </c>
      <c r="G1020">
        <v>2.41468502294535</v>
      </c>
      <c r="H1020">
        <v>1.3865387289667599</v>
      </c>
      <c r="I1020">
        <v>2.3094701710471401</v>
      </c>
      <c r="J1020">
        <v>2.2572382144347101</v>
      </c>
      <c r="K1020">
        <v>2.0542900848282599</v>
      </c>
      <c r="L1020">
        <v>4083.5171584075802</v>
      </c>
      <c r="M1020">
        <v>90.667290045752395</v>
      </c>
      <c r="O1020">
        <v>45.016587165040399</v>
      </c>
      <c r="P1020">
        <v>0.25176081416954299</v>
      </c>
      <c r="Q1020">
        <v>1.5</v>
      </c>
      <c r="R1020">
        <v>-0.147039761228796</v>
      </c>
      <c r="S1020" t="s">
        <v>2894</v>
      </c>
      <c r="T1020" t="s">
        <v>3746</v>
      </c>
      <c r="U1020" t="s">
        <v>3746</v>
      </c>
      <c r="V1020" t="s">
        <v>3746</v>
      </c>
      <c r="W1020" t="s">
        <v>4756</v>
      </c>
      <c r="X1020">
        <v>12</v>
      </c>
      <c r="Y1020" t="s">
        <v>6555</v>
      </c>
      <c r="Z1020" t="s">
        <v>8408</v>
      </c>
      <c r="AA1020">
        <v>1.4157243073407919</v>
      </c>
      <c r="AB1020" t="str">
        <f>HYPERLINK("Melting_Curves/meltCurve_P17858_PFKL.pdf", "Melting_Curves/meltCurve_P17858_PFKL.pdf")</f>
        <v>Melting_Curves/meltCurve_P17858_PFKL.pdf</v>
      </c>
    </row>
    <row r="1021" spans="1:28" x14ac:dyDescent="0.25">
      <c r="A1021" t="s">
        <v>1025</v>
      </c>
      <c r="B1021">
        <v>1</v>
      </c>
      <c r="C1021">
        <v>1.0233931947069901</v>
      </c>
      <c r="D1021">
        <v>1.0945967233774401</v>
      </c>
      <c r="E1021">
        <v>1.2842627599243901</v>
      </c>
      <c r="F1021">
        <v>0.829395085066163</v>
      </c>
      <c r="G1021">
        <v>1.05214240705734</v>
      </c>
      <c r="H1021">
        <v>0.58446754883427898</v>
      </c>
      <c r="I1021">
        <v>0.93596408317580304</v>
      </c>
      <c r="J1021">
        <v>0.71947069943289199</v>
      </c>
      <c r="K1021">
        <v>0.71750945179584102</v>
      </c>
      <c r="L1021">
        <v>14702.9195788834</v>
      </c>
      <c r="M1021">
        <v>250</v>
      </c>
      <c r="O1021">
        <v>58.807915267670801</v>
      </c>
      <c r="P1021">
        <v>-0.27700969256904601</v>
      </c>
      <c r="Q1021">
        <v>0.739354202100443</v>
      </c>
      <c r="R1021">
        <v>0.53562462394431998</v>
      </c>
      <c r="S1021" t="s">
        <v>2895</v>
      </c>
      <c r="T1021" t="s">
        <v>3746</v>
      </c>
      <c r="U1021" t="s">
        <v>3746</v>
      </c>
      <c r="V1021" t="s">
        <v>3746</v>
      </c>
      <c r="W1021" t="s">
        <v>4757</v>
      </c>
      <c r="X1021">
        <v>5</v>
      </c>
      <c r="Y1021" t="s">
        <v>6556</v>
      </c>
      <c r="Z1021" t="s">
        <v>8409</v>
      </c>
      <c r="AA1021">
        <v>0.90282060109912554</v>
      </c>
      <c r="AB1021" t="str">
        <f>HYPERLINK("Melting_Curves/meltCurve_P17900_GM2A.pdf", "Melting_Curves/meltCurve_P17900_GM2A.pdf")</f>
        <v>Melting_Curves/meltCurve_P17900_GM2A.pdf</v>
      </c>
    </row>
    <row r="1022" spans="1:28" x14ac:dyDescent="0.25">
      <c r="A1022" t="s">
        <v>1026</v>
      </c>
      <c r="B1022">
        <v>1</v>
      </c>
      <c r="C1022">
        <v>1.1313934574372</v>
      </c>
      <c r="D1022">
        <v>1.8404120730164499</v>
      </c>
      <c r="E1022">
        <v>2.43665281041027</v>
      </c>
      <c r="F1022">
        <v>2.0952467016085299</v>
      </c>
      <c r="G1022">
        <v>2.5181637448038998</v>
      </c>
      <c r="H1022">
        <v>1.0927887222121799</v>
      </c>
      <c r="I1022">
        <v>2.0216880534972002</v>
      </c>
      <c r="J1022">
        <v>1.776793782758</v>
      </c>
      <c r="K1022">
        <v>1.7766311223567699</v>
      </c>
      <c r="L1022">
        <v>10769.252694786701</v>
      </c>
      <c r="M1022">
        <v>250</v>
      </c>
      <c r="O1022">
        <v>43.0742543489608</v>
      </c>
      <c r="P1022">
        <v>0.72549137909203298</v>
      </c>
      <c r="Q1022">
        <v>1.5</v>
      </c>
      <c r="R1022">
        <v>-0.127997333446283</v>
      </c>
      <c r="S1022" t="s">
        <v>2896</v>
      </c>
      <c r="T1022" t="s">
        <v>3746</v>
      </c>
      <c r="U1022" t="s">
        <v>3746</v>
      </c>
      <c r="V1022" t="s">
        <v>3746</v>
      </c>
      <c r="W1022" t="s">
        <v>4758</v>
      </c>
      <c r="X1022">
        <v>8</v>
      </c>
      <c r="Y1022" t="s">
        <v>6557</v>
      </c>
      <c r="Z1022" t="s">
        <v>8410</v>
      </c>
      <c r="AA1022">
        <v>1.4486786872615469</v>
      </c>
      <c r="AB1022" t="str">
        <f>HYPERLINK("Melting_Curves/meltCurve_P17931_LGALS3.pdf", "Melting_Curves/meltCurve_P17931_LGALS3.pdf")</f>
        <v>Melting_Curves/meltCurve_P17931_LGALS3.pdf</v>
      </c>
    </row>
    <row r="1023" spans="1:28" x14ac:dyDescent="0.25">
      <c r="A1023" t="s">
        <v>1027</v>
      </c>
      <c r="B1023">
        <v>1</v>
      </c>
      <c r="C1023">
        <v>1.1555638258280601</v>
      </c>
      <c r="D1023">
        <v>1.29158913286193</v>
      </c>
      <c r="E1023">
        <v>1.54627217466816</v>
      </c>
      <c r="F1023">
        <v>1.01352189554646</v>
      </c>
      <c r="G1023">
        <v>1.3105694082620001</v>
      </c>
      <c r="H1023">
        <v>0.81329859818881001</v>
      </c>
      <c r="I1023">
        <v>1.3217963031881901</v>
      </c>
      <c r="J1023">
        <v>1.2953107554893899</v>
      </c>
      <c r="K1023">
        <v>1.1671008559731999</v>
      </c>
      <c r="L1023">
        <v>10687.1437160072</v>
      </c>
      <c r="M1023">
        <v>250</v>
      </c>
      <c r="O1023">
        <v>42.745839286365403</v>
      </c>
      <c r="P1023">
        <v>0.32156988049874102</v>
      </c>
      <c r="Q1023">
        <v>1.2199323903955499</v>
      </c>
      <c r="R1023">
        <v>0.113609535860177</v>
      </c>
      <c r="S1023" t="s">
        <v>2897</v>
      </c>
      <c r="T1023" t="s">
        <v>3746</v>
      </c>
      <c r="U1023" t="s">
        <v>3746</v>
      </c>
      <c r="V1023" t="s">
        <v>3746</v>
      </c>
      <c r="W1023" t="s">
        <v>4759</v>
      </c>
      <c r="X1023">
        <v>4</v>
      </c>
      <c r="Y1023" t="s">
        <v>6558</v>
      </c>
      <c r="Z1023" t="s">
        <v>8411</v>
      </c>
      <c r="AA1023">
        <v>1.1997658690174871</v>
      </c>
      <c r="AB1023" t="str">
        <f>HYPERLINK("Melting_Curves/meltCurve_P17936_IGFBP3.pdf", "Melting_Curves/meltCurve_P17936_IGFBP3.pdf")</f>
        <v>Melting_Curves/meltCurve_P17936_IGFBP3.pdf</v>
      </c>
    </row>
    <row r="1024" spans="1:28" x14ac:dyDescent="0.25">
      <c r="A1024" t="s">
        <v>1028</v>
      </c>
      <c r="B1024">
        <v>1</v>
      </c>
      <c r="C1024">
        <v>1.16099041313194</v>
      </c>
      <c r="D1024">
        <v>1.71542865025174</v>
      </c>
      <c r="E1024">
        <v>2.2437409476515602</v>
      </c>
      <c r="F1024">
        <v>1.5500379336506001</v>
      </c>
      <c r="G1024">
        <v>2.02234636871508</v>
      </c>
      <c r="H1024">
        <v>1.55707290157942</v>
      </c>
      <c r="I1024">
        <v>2.23063659562728</v>
      </c>
      <c r="J1024">
        <v>2.2949168908200601</v>
      </c>
      <c r="K1024">
        <v>2.2531209048899901</v>
      </c>
      <c r="L1024">
        <v>10756.9468901829</v>
      </c>
      <c r="M1024">
        <v>250</v>
      </c>
      <c r="O1024">
        <v>43.025034009259002</v>
      </c>
      <c r="P1024">
        <v>0.72632133160983103</v>
      </c>
      <c r="Q1024">
        <v>1.5</v>
      </c>
      <c r="R1024">
        <v>-0.26815933353090099</v>
      </c>
      <c r="S1024" t="s">
        <v>2898</v>
      </c>
      <c r="T1024" t="s">
        <v>3746</v>
      </c>
      <c r="U1024" t="s">
        <v>3746</v>
      </c>
      <c r="V1024" t="s">
        <v>3746</v>
      </c>
      <c r="W1024" t="s">
        <v>4760</v>
      </c>
      <c r="X1024">
        <v>10</v>
      </c>
      <c r="Y1024" t="s">
        <v>6559</v>
      </c>
      <c r="Z1024" t="s">
        <v>8412</v>
      </c>
      <c r="AA1024">
        <v>1.449499117424172</v>
      </c>
      <c r="AB1024" t="str">
        <f>HYPERLINK("Melting_Curves/meltCurve_P17987_TCP1.pdf", "Melting_Curves/meltCurve_P17987_TCP1.pdf")</f>
        <v>Melting_Curves/meltCurve_P17987_TCP1.pdf</v>
      </c>
    </row>
    <row r="1025" spans="1:28" x14ac:dyDescent="0.25">
      <c r="A1025" t="s">
        <v>1029</v>
      </c>
      <c r="B1025">
        <v>1</v>
      </c>
      <c r="C1025">
        <v>1.12425189261453</v>
      </c>
      <c r="D1025">
        <v>1.38083912387881</v>
      </c>
      <c r="E1025">
        <v>1.5597941830278701</v>
      </c>
      <c r="F1025">
        <v>0.93924979402757702</v>
      </c>
      <c r="G1025">
        <v>1.0672946882432499</v>
      </c>
      <c r="H1025">
        <v>0.59884344541342205</v>
      </c>
      <c r="I1025">
        <v>0.97155248799141902</v>
      </c>
      <c r="J1025">
        <v>0.95939622876152297</v>
      </c>
      <c r="K1025">
        <v>0.90982294144165199</v>
      </c>
      <c r="L1025">
        <v>3157.4239213412102</v>
      </c>
      <c r="M1025">
        <v>54.2567673747089</v>
      </c>
      <c r="O1025">
        <v>58.115209341507502</v>
      </c>
      <c r="P1025">
        <v>-3.0752389038022999E-2</v>
      </c>
      <c r="Q1025">
        <v>0.86824276602696204</v>
      </c>
      <c r="R1025">
        <v>6.6213701663524499E-2</v>
      </c>
      <c r="S1025" t="s">
        <v>2899</v>
      </c>
      <c r="T1025" t="s">
        <v>3746</v>
      </c>
      <c r="U1025" t="s">
        <v>3746</v>
      </c>
      <c r="V1025" t="s">
        <v>3746</v>
      </c>
      <c r="W1025" t="s">
        <v>4761</v>
      </c>
      <c r="X1025">
        <v>13</v>
      </c>
      <c r="Y1025" t="s">
        <v>6560</v>
      </c>
      <c r="Z1025" t="s">
        <v>8413</v>
      </c>
      <c r="AA1025">
        <v>0.94843581658102738</v>
      </c>
      <c r="AB1025" t="str">
        <f>HYPERLINK("Melting_Curves/meltCurve_P18065_IGFBP2.pdf", "Melting_Curves/meltCurve_P18065_IGFBP2.pdf")</f>
        <v>Melting_Curves/meltCurve_P18065_IGFBP2.pdf</v>
      </c>
    </row>
    <row r="1026" spans="1:28" x14ac:dyDescent="0.25">
      <c r="A1026" t="s">
        <v>1030</v>
      </c>
      <c r="B1026">
        <v>1</v>
      </c>
      <c r="C1026">
        <v>1.02737156965151</v>
      </c>
      <c r="D1026">
        <v>1.5203921754819101</v>
      </c>
      <c r="E1026">
        <v>1.84529009590732</v>
      </c>
      <c r="F1026">
        <v>1.438467382015</v>
      </c>
      <c r="G1026">
        <v>1.46845028962112</v>
      </c>
      <c r="H1026">
        <v>0.97046814167695405</v>
      </c>
      <c r="I1026">
        <v>1.5513958788339199</v>
      </c>
      <c r="J1026">
        <v>1.63505365112525</v>
      </c>
      <c r="K1026">
        <v>1.4735305289146301</v>
      </c>
      <c r="L1026">
        <v>10846.0987086033</v>
      </c>
      <c r="M1026">
        <v>250</v>
      </c>
      <c r="O1026">
        <v>43.381618832334198</v>
      </c>
      <c r="P1026">
        <v>0.70289138381650695</v>
      </c>
      <c r="Q1026">
        <v>1.48788105341826</v>
      </c>
      <c r="R1026">
        <v>0.45856744768556501</v>
      </c>
      <c r="S1026" t="s">
        <v>2900</v>
      </c>
      <c r="T1026" t="s">
        <v>3746</v>
      </c>
      <c r="U1026" t="s">
        <v>3746</v>
      </c>
      <c r="V1026" t="s">
        <v>3746</v>
      </c>
      <c r="W1026" t="s">
        <v>4762</v>
      </c>
      <c r="X1026">
        <v>5</v>
      </c>
      <c r="Y1026" t="s">
        <v>6561</v>
      </c>
      <c r="Z1026" t="s">
        <v>8414</v>
      </c>
      <c r="AA1026">
        <v>1.432804502771682</v>
      </c>
      <c r="AB1026" t="str">
        <f>HYPERLINK("Melting_Curves/meltCurve_P18085_ARF4.pdf", "Melting_Curves/meltCurve_P18085_ARF4.pdf")</f>
        <v>Melting_Curves/meltCurve_P18085_ARF4.pdf</v>
      </c>
    </row>
    <row r="1027" spans="1:28" x14ac:dyDescent="0.25">
      <c r="A1027" t="s">
        <v>1031</v>
      </c>
      <c r="B1027">
        <v>1</v>
      </c>
      <c r="C1027">
        <v>1.09535423925668</v>
      </c>
      <c r="D1027">
        <v>1.5118273325590399</v>
      </c>
      <c r="E1027">
        <v>1.5350367789392201</v>
      </c>
      <c r="F1027">
        <v>0.86554394115369704</v>
      </c>
      <c r="G1027">
        <v>1.1354045683314</v>
      </c>
      <c r="H1027">
        <v>0.51970576848625605</v>
      </c>
      <c r="I1027">
        <v>1.08987611304684</v>
      </c>
      <c r="J1027">
        <v>0.92516453735965898</v>
      </c>
      <c r="K1027">
        <v>0.80766550522648095</v>
      </c>
      <c r="L1027">
        <v>4392.0175745350098</v>
      </c>
      <c r="M1027">
        <v>74.898780170919494</v>
      </c>
      <c r="O1027">
        <v>58.597608011227003</v>
      </c>
      <c r="P1027">
        <v>-5.0016777594463303E-2</v>
      </c>
      <c r="Q1027">
        <v>0.84347605098618195</v>
      </c>
      <c r="R1027">
        <v>8.7384873373266503E-2</v>
      </c>
      <c r="S1027" t="s">
        <v>2901</v>
      </c>
      <c r="T1027" t="s">
        <v>3746</v>
      </c>
      <c r="U1027" t="s">
        <v>3746</v>
      </c>
      <c r="V1027" t="s">
        <v>3746</v>
      </c>
      <c r="W1027" t="s">
        <v>4763</v>
      </c>
      <c r="X1027">
        <v>7</v>
      </c>
      <c r="Z1027" t="s">
        <v>8415</v>
      </c>
      <c r="AA1027">
        <v>0.94090616696056584</v>
      </c>
      <c r="AB1027" t="str">
        <f>HYPERLINK("Melting_Curves/meltCurve_P18135_.pdf", "Melting_Curves/meltCurve_P18135_.pdf")</f>
        <v>Melting_Curves/meltCurve_P18135_.pdf</v>
      </c>
    </row>
    <row r="1028" spans="1:28" x14ac:dyDescent="0.25">
      <c r="A1028" t="s">
        <v>1032</v>
      </c>
      <c r="B1028">
        <v>1</v>
      </c>
      <c r="C1028">
        <v>1.30684252811998</v>
      </c>
      <c r="D1028">
        <v>2.09000624888413</v>
      </c>
      <c r="E1028">
        <v>2.3835029459025199</v>
      </c>
      <c r="F1028">
        <v>1.8481074808069999</v>
      </c>
      <c r="G1028">
        <v>1.9288743081592601</v>
      </c>
      <c r="H1028">
        <v>1.24580432065703</v>
      </c>
      <c r="I1028">
        <v>1.6953445813247601</v>
      </c>
      <c r="J1028">
        <v>1.7327932512051401</v>
      </c>
      <c r="K1028">
        <v>1.64854490269595</v>
      </c>
      <c r="L1028">
        <v>10705.1446135969</v>
      </c>
      <c r="M1028">
        <v>250</v>
      </c>
      <c r="O1028">
        <v>42.817832736153498</v>
      </c>
      <c r="P1028">
        <v>0.72983600589578901</v>
      </c>
      <c r="Q1028">
        <v>1.5</v>
      </c>
      <c r="R1028">
        <v>-4.27102028140409E-2</v>
      </c>
      <c r="S1028" t="s">
        <v>2902</v>
      </c>
      <c r="T1028" t="s">
        <v>3746</v>
      </c>
      <c r="U1028" t="s">
        <v>3746</v>
      </c>
      <c r="V1028" t="s">
        <v>3746</v>
      </c>
      <c r="W1028" t="s">
        <v>4764</v>
      </c>
      <c r="X1028">
        <v>12</v>
      </c>
      <c r="Y1028" t="s">
        <v>6562</v>
      </c>
      <c r="Z1028" t="s">
        <v>8416</v>
      </c>
      <c r="AA1028">
        <v>1.45295278431457</v>
      </c>
      <c r="AB1028" t="str">
        <f>HYPERLINK("Melting_Curves/meltCurve_P18206_2_VCL.pdf", "Melting_Curves/meltCurve_P18206_2_VCL.pdf")</f>
        <v>Melting_Curves/meltCurve_P18206_2_VCL.pdf</v>
      </c>
    </row>
    <row r="1029" spans="1:28" x14ac:dyDescent="0.25">
      <c r="A1029" t="s">
        <v>1033</v>
      </c>
      <c r="B1029">
        <v>1</v>
      </c>
      <c r="C1029">
        <v>1.1740322028091801</v>
      </c>
      <c r="D1029">
        <v>1.6561836245289501</v>
      </c>
      <c r="E1029">
        <v>2.2985268927715001</v>
      </c>
      <c r="F1029">
        <v>1.90853031860226</v>
      </c>
      <c r="G1029">
        <v>2.2393970537855399</v>
      </c>
      <c r="H1029">
        <v>1.30154162384378</v>
      </c>
      <c r="I1029">
        <v>2.1194244604316501</v>
      </c>
      <c r="J1029">
        <v>2.00602946214457</v>
      </c>
      <c r="K1029">
        <v>1.7635491606714599</v>
      </c>
      <c r="L1029">
        <v>10751.922227445601</v>
      </c>
      <c r="M1029">
        <v>250</v>
      </c>
      <c r="O1029">
        <v>43.004946924530998</v>
      </c>
      <c r="P1029">
        <v>0.72666076048282702</v>
      </c>
      <c r="Q1029">
        <v>1.5</v>
      </c>
      <c r="R1029">
        <v>-0.13487690391495499</v>
      </c>
      <c r="S1029" t="s">
        <v>2903</v>
      </c>
      <c r="T1029" t="s">
        <v>3746</v>
      </c>
      <c r="U1029" t="s">
        <v>3746</v>
      </c>
      <c r="V1029" t="s">
        <v>3746</v>
      </c>
      <c r="W1029" t="s">
        <v>4765</v>
      </c>
      <c r="X1029">
        <v>4</v>
      </c>
      <c r="Y1029" t="s">
        <v>6563</v>
      </c>
      <c r="Z1029" t="s">
        <v>8417</v>
      </c>
      <c r="AA1029">
        <v>1.4498341125744021</v>
      </c>
      <c r="AB1029" t="str">
        <f>HYPERLINK("Melting_Curves/meltCurve_P18428_LBP.pdf", "Melting_Curves/meltCurve_P18428_LBP.pdf")</f>
        <v>Melting_Curves/meltCurve_P18428_LBP.pdf</v>
      </c>
    </row>
    <row r="1030" spans="1:28" x14ac:dyDescent="0.25">
      <c r="A1030" t="s">
        <v>1034</v>
      </c>
      <c r="B1030">
        <v>1</v>
      </c>
      <c r="C1030">
        <v>0.96194801127466301</v>
      </c>
      <c r="D1030">
        <v>1.3429376761666101</v>
      </c>
      <c r="E1030">
        <v>1.5788704457667799</v>
      </c>
      <c r="F1030">
        <v>1.1267355673869901</v>
      </c>
      <c r="G1030">
        <v>0.97771166092494</v>
      </c>
      <c r="H1030">
        <v>0.75435849253575504</v>
      </c>
      <c r="I1030">
        <v>1.1414030692139101</v>
      </c>
      <c r="J1030">
        <v>1.0349201378014401</v>
      </c>
      <c r="K1030">
        <v>1.1104499425827301</v>
      </c>
      <c r="L1030">
        <v>11062.6086456591</v>
      </c>
      <c r="M1030">
        <v>250</v>
      </c>
      <c r="O1030">
        <v>44.247605576716097</v>
      </c>
      <c r="P1030">
        <v>0.18836582461110299</v>
      </c>
      <c r="Q1030">
        <v>1.13335577901301</v>
      </c>
      <c r="R1030">
        <v>7.9504768522609098E-2</v>
      </c>
      <c r="S1030" t="s">
        <v>2904</v>
      </c>
      <c r="T1030" t="s">
        <v>3746</v>
      </c>
      <c r="U1030" t="s">
        <v>3746</v>
      </c>
      <c r="V1030" t="s">
        <v>3746</v>
      </c>
      <c r="W1030" t="s">
        <v>4766</v>
      </c>
      <c r="X1030">
        <v>1</v>
      </c>
      <c r="Y1030" t="s">
        <v>6564</v>
      </c>
      <c r="Z1030" t="s">
        <v>8418</v>
      </c>
      <c r="AA1030">
        <v>1.114451422262992</v>
      </c>
      <c r="AB1030" t="str">
        <f>HYPERLINK("Melting_Curves/meltCurve_P18510_IL1RN.pdf", "Melting_Curves/meltCurve_P18510_IL1RN.pdf")</f>
        <v>Melting_Curves/meltCurve_P18510_IL1RN.pdf</v>
      </c>
    </row>
    <row r="1031" spans="1:28" x14ac:dyDescent="0.25">
      <c r="A1031" t="s">
        <v>1035</v>
      </c>
      <c r="B1031">
        <v>1</v>
      </c>
      <c r="C1031">
        <v>0.96152648721141898</v>
      </c>
      <c r="D1031">
        <v>1.4451815307979701</v>
      </c>
      <c r="E1031">
        <v>1.92774691062362</v>
      </c>
      <c r="F1031">
        <v>1.4967908803525201</v>
      </c>
      <c r="G1031">
        <v>1.7757927004502301</v>
      </c>
      <c r="H1031">
        <v>1.1241977200881299</v>
      </c>
      <c r="I1031">
        <v>2.4954497557237301</v>
      </c>
      <c r="J1031">
        <v>2.5755580036402002</v>
      </c>
      <c r="K1031">
        <v>2.3442140051729101</v>
      </c>
      <c r="L1031">
        <v>11403.655124204601</v>
      </c>
      <c r="M1031">
        <v>250</v>
      </c>
      <c r="O1031">
        <v>45.611701928683303</v>
      </c>
      <c r="P1031">
        <v>0.68513120611115597</v>
      </c>
      <c r="Q1031">
        <v>1.5</v>
      </c>
      <c r="R1031">
        <v>2.4155499278080701E-2</v>
      </c>
      <c r="S1031" t="s">
        <v>2905</v>
      </c>
      <c r="T1031" t="s">
        <v>3746</v>
      </c>
      <c r="U1031" t="s">
        <v>3746</v>
      </c>
      <c r="V1031" t="s">
        <v>3746</v>
      </c>
      <c r="W1031" t="s">
        <v>4767</v>
      </c>
      <c r="X1031">
        <v>7</v>
      </c>
      <c r="Y1031" t="s">
        <v>6565</v>
      </c>
      <c r="Z1031" t="s">
        <v>8419</v>
      </c>
      <c r="AA1031">
        <v>1.4063829652451669</v>
      </c>
      <c r="AB1031" t="str">
        <f>HYPERLINK("Melting_Curves/meltCurve_P18669_PGAM1.pdf", "Melting_Curves/meltCurve_P18669_PGAM1.pdf")</f>
        <v>Melting_Curves/meltCurve_P18669_PGAM1.pdf</v>
      </c>
    </row>
    <row r="1032" spans="1:28" x14ac:dyDescent="0.25">
      <c r="A1032" t="s">
        <v>1036</v>
      </c>
      <c r="B1032">
        <v>1</v>
      </c>
      <c r="C1032">
        <v>1.13753508548099</v>
      </c>
      <c r="D1032">
        <v>1.4501148252105101</v>
      </c>
      <c r="E1032">
        <v>2.3109636812111898</v>
      </c>
      <c r="F1032">
        <v>1.5765076124861801</v>
      </c>
      <c r="G1032">
        <v>1.9102662243769699</v>
      </c>
      <c r="H1032">
        <v>0.93101981798077704</v>
      </c>
      <c r="I1032">
        <v>1.5799098409458201</v>
      </c>
      <c r="J1032">
        <v>1.5442714978310801</v>
      </c>
      <c r="K1032">
        <v>1.4703580845453801</v>
      </c>
      <c r="L1032">
        <v>2507.4618640123399</v>
      </c>
      <c r="M1032">
        <v>57.446858305604103</v>
      </c>
      <c r="O1032">
        <v>43.595559024704698</v>
      </c>
      <c r="P1032">
        <v>0.16471536230172601</v>
      </c>
      <c r="Q1032">
        <v>1.5</v>
      </c>
      <c r="R1032">
        <v>0.246723046039621</v>
      </c>
      <c r="S1032" t="s">
        <v>2906</v>
      </c>
      <c r="T1032" t="s">
        <v>3746</v>
      </c>
      <c r="U1032" t="s">
        <v>3746</v>
      </c>
      <c r="V1032" t="s">
        <v>3746</v>
      </c>
      <c r="W1032" t="s">
        <v>4768</v>
      </c>
      <c r="X1032">
        <v>2</v>
      </c>
      <c r="Y1032" t="s">
        <v>6566</v>
      </c>
      <c r="Z1032" t="s">
        <v>8420</v>
      </c>
      <c r="AA1032">
        <v>1.438410998822214</v>
      </c>
      <c r="AB1032" t="str">
        <f>HYPERLINK("Melting_Curves/meltCurve_P18827_SDC1.pdf", "Melting_Curves/meltCurve_P18827_SDC1.pdf")</f>
        <v>Melting_Curves/meltCurve_P18827_SDC1.pdf</v>
      </c>
    </row>
    <row r="1033" spans="1:28" x14ac:dyDescent="0.25">
      <c r="A1033" t="s">
        <v>1037</v>
      </c>
      <c r="B1033">
        <v>1</v>
      </c>
      <c r="C1033">
        <v>0.83779930755578802</v>
      </c>
      <c r="D1033">
        <v>1.2255680661022399</v>
      </c>
      <c r="E1033">
        <v>1.2402897791742999</v>
      </c>
      <c r="F1033">
        <v>0.90698554013557897</v>
      </c>
      <c r="G1033">
        <v>1.0180384626574699</v>
      </c>
      <c r="H1033">
        <v>0.49617410025893899</v>
      </c>
      <c r="I1033">
        <v>0.88327369002938505</v>
      </c>
      <c r="J1033">
        <v>0.83355154054290004</v>
      </c>
      <c r="K1033">
        <v>0.73076139768991299</v>
      </c>
      <c r="L1033">
        <v>14659.008756991299</v>
      </c>
      <c r="M1033">
        <v>250</v>
      </c>
      <c r="O1033">
        <v>58.632287459125003</v>
      </c>
      <c r="P1033">
        <v>-0.28147538440877501</v>
      </c>
      <c r="Q1033">
        <v>0.73594329124667901</v>
      </c>
      <c r="R1033">
        <v>0.47487903999447101</v>
      </c>
      <c r="S1033" t="s">
        <v>2907</v>
      </c>
      <c r="T1033" t="s">
        <v>3746</v>
      </c>
      <c r="U1033" t="s">
        <v>3746</v>
      </c>
      <c r="V1033" t="s">
        <v>3746</v>
      </c>
      <c r="W1033" t="s">
        <v>4769</v>
      </c>
      <c r="X1033">
        <v>2</v>
      </c>
      <c r="Y1033" t="s">
        <v>6567</v>
      </c>
      <c r="Z1033" t="s">
        <v>8421</v>
      </c>
      <c r="AA1033">
        <v>0.90000279987901011</v>
      </c>
      <c r="AB1033" t="str">
        <f>HYPERLINK("Melting_Curves/meltCurve_P18850_ATF6.pdf", "Melting_Curves/meltCurve_P18850_ATF6.pdf")</f>
        <v>Melting_Curves/meltCurve_P18850_ATF6.pdf</v>
      </c>
    </row>
    <row r="1034" spans="1:28" x14ac:dyDescent="0.25">
      <c r="A1034" t="s">
        <v>1038</v>
      </c>
      <c r="B1034">
        <v>1</v>
      </c>
      <c r="C1034">
        <v>1.1043418624777499</v>
      </c>
      <c r="D1034">
        <v>1.4222497999706101</v>
      </c>
      <c r="E1034">
        <v>1.5789585408468201</v>
      </c>
      <c r="F1034">
        <v>1.1337012785552201</v>
      </c>
      <c r="G1034">
        <v>1.3504188370536101</v>
      </c>
      <c r="H1034">
        <v>0.75989941379141401</v>
      </c>
      <c r="I1034">
        <v>1.2334547117127399</v>
      </c>
      <c r="J1034">
        <v>1.1029539034307101</v>
      </c>
      <c r="K1034">
        <v>1.0594862918632899</v>
      </c>
      <c r="L1034">
        <v>10723.5178009968</v>
      </c>
      <c r="M1034">
        <v>250</v>
      </c>
      <c r="O1034">
        <v>42.891326279815701</v>
      </c>
      <c r="P1034">
        <v>0.29892457642549802</v>
      </c>
      <c r="Q1034">
        <v>1.2051403443511</v>
      </c>
      <c r="R1034">
        <v>8.8115704221390895E-2</v>
      </c>
      <c r="S1034" t="s">
        <v>2908</v>
      </c>
      <c r="T1034" t="s">
        <v>3746</v>
      </c>
      <c r="U1034" t="s">
        <v>3746</v>
      </c>
      <c r="V1034" t="s">
        <v>3746</v>
      </c>
      <c r="W1034" t="s">
        <v>4770</v>
      </c>
      <c r="X1034">
        <v>11</v>
      </c>
      <c r="Y1034" t="s">
        <v>6568</v>
      </c>
      <c r="Z1034" t="s">
        <v>8422</v>
      </c>
      <c r="AA1034">
        <v>1.1853352095823739</v>
      </c>
      <c r="AB1034" t="str">
        <f>HYPERLINK("Melting_Curves/meltCurve_P19021_2_PAM.pdf", "Melting_Curves/meltCurve_P19021_2_PAM.pdf")</f>
        <v>Melting_Curves/meltCurve_P19021_2_PAM.pdf</v>
      </c>
    </row>
    <row r="1035" spans="1:28" x14ac:dyDescent="0.25">
      <c r="A1035" t="s">
        <v>1039</v>
      </c>
      <c r="B1035">
        <v>1</v>
      </c>
      <c r="C1035">
        <v>0.98308969592013495</v>
      </c>
      <c r="D1035">
        <v>1.2562522283909701</v>
      </c>
      <c r="E1035">
        <v>1.4296847145112801</v>
      </c>
      <c r="F1035">
        <v>1.07395711302399</v>
      </c>
      <c r="G1035">
        <v>1.1820404421127699</v>
      </c>
      <c r="H1035">
        <v>0.64279529363826204</v>
      </c>
      <c r="I1035">
        <v>1.0251107828655801</v>
      </c>
      <c r="J1035">
        <v>1.03860846533897</v>
      </c>
      <c r="K1035">
        <v>0.91025314521469003</v>
      </c>
      <c r="L1035">
        <v>1975.4907245627601</v>
      </c>
      <c r="M1035">
        <v>33.689578226544398</v>
      </c>
      <c r="O1035">
        <v>58.432569345916399</v>
      </c>
      <c r="P1035">
        <v>-1.03564808769356E-2</v>
      </c>
      <c r="Q1035">
        <v>0.92814947412149496</v>
      </c>
      <c r="R1035">
        <v>-2.76672219362732E-2</v>
      </c>
      <c r="S1035" t="s">
        <v>2909</v>
      </c>
      <c r="T1035" t="s">
        <v>3746</v>
      </c>
      <c r="U1035" t="s">
        <v>3746</v>
      </c>
      <c r="V1035" t="s">
        <v>3746</v>
      </c>
      <c r="W1035" t="s">
        <v>4771</v>
      </c>
      <c r="X1035">
        <v>14</v>
      </c>
      <c r="Y1035" t="s">
        <v>6569</v>
      </c>
      <c r="Z1035" t="s">
        <v>8423</v>
      </c>
      <c r="AA1035">
        <v>0.97317307132316899</v>
      </c>
      <c r="AB1035" t="str">
        <f>HYPERLINK("Melting_Curves/meltCurve_P19320_VCAM1.pdf", "Melting_Curves/meltCurve_P19320_VCAM1.pdf")</f>
        <v>Melting_Curves/meltCurve_P19320_VCAM1.pdf</v>
      </c>
    </row>
    <row r="1036" spans="1:28" x14ac:dyDescent="0.25">
      <c r="A1036" t="s">
        <v>1040</v>
      </c>
      <c r="B1036">
        <v>1</v>
      </c>
      <c r="C1036">
        <v>0.84053678292933598</v>
      </c>
      <c r="D1036">
        <v>1.1146104092365301</v>
      </c>
      <c r="E1036">
        <v>1.03246085957807</v>
      </c>
      <c r="F1036">
        <v>0.63730883152995199</v>
      </c>
      <c r="G1036">
        <v>0.63126397872211804</v>
      </c>
      <c r="H1036">
        <v>0.43855407120836598</v>
      </c>
      <c r="I1036">
        <v>0.69600435229402202</v>
      </c>
      <c r="J1036">
        <v>0.70615970501118297</v>
      </c>
      <c r="K1036">
        <v>0.60956295714199404</v>
      </c>
      <c r="L1036">
        <v>13099.0140012542</v>
      </c>
      <c r="M1036">
        <v>250</v>
      </c>
      <c r="O1036">
        <v>52.392703649043298</v>
      </c>
      <c r="P1036">
        <v>-0.45771132329105102</v>
      </c>
      <c r="Q1036">
        <v>0.61630826567767905</v>
      </c>
      <c r="R1036">
        <v>0.79905187655519705</v>
      </c>
      <c r="S1036" t="s">
        <v>2910</v>
      </c>
      <c r="T1036" t="s">
        <v>3746</v>
      </c>
      <c r="U1036" t="s">
        <v>3746</v>
      </c>
      <c r="V1036" t="s">
        <v>3746</v>
      </c>
      <c r="W1036" t="s">
        <v>4772</v>
      </c>
      <c r="X1036">
        <v>11</v>
      </c>
      <c r="Y1036" t="s">
        <v>6570</v>
      </c>
      <c r="Z1036" t="s">
        <v>8424</v>
      </c>
      <c r="AA1036">
        <v>0.77488568867897822</v>
      </c>
      <c r="AB1036" t="str">
        <f>HYPERLINK("Melting_Curves/meltCurve_P19440_GGT1.pdf", "Melting_Curves/meltCurve_P19440_GGT1.pdf")</f>
        <v>Melting_Curves/meltCurve_P19440_GGT1.pdf</v>
      </c>
    </row>
    <row r="1037" spans="1:28" x14ac:dyDescent="0.25">
      <c r="A1037" t="s">
        <v>1041</v>
      </c>
      <c r="B1037">
        <v>1</v>
      </c>
      <c r="C1037">
        <v>1.0915542521994099</v>
      </c>
      <c r="D1037">
        <v>1.62093841642229</v>
      </c>
      <c r="E1037">
        <v>2.0199413489736102</v>
      </c>
      <c r="F1037">
        <v>2.4265689149560101</v>
      </c>
      <c r="G1037">
        <v>2.3848093841642202</v>
      </c>
      <c r="H1037">
        <v>1.50146627565982</v>
      </c>
      <c r="I1037">
        <v>2.4815835777126098</v>
      </c>
      <c r="J1037">
        <v>2.75929618768328</v>
      </c>
      <c r="K1037">
        <v>2.9547214076246302</v>
      </c>
      <c r="S1037" t="s">
        <v>2911</v>
      </c>
      <c r="T1037" t="s">
        <v>3746</v>
      </c>
      <c r="U1037" t="s">
        <v>3747</v>
      </c>
      <c r="V1037" t="s">
        <v>3746</v>
      </c>
      <c r="W1037" t="s">
        <v>4773</v>
      </c>
      <c r="X1037">
        <v>2</v>
      </c>
      <c r="Y1037" t="s">
        <v>6571</v>
      </c>
      <c r="Z1037" t="s">
        <v>8425</v>
      </c>
      <c r="AB1037" t="str">
        <f>HYPERLINK("Melting_Curves/meltCurve_P19623_SRM.pdf", "Melting_Curves/meltCurve_P19623_SRM.pdf")</f>
        <v>Melting_Curves/meltCurve_P19623_SRM.pdf</v>
      </c>
    </row>
    <row r="1038" spans="1:28" x14ac:dyDescent="0.25">
      <c r="A1038" t="s">
        <v>1042</v>
      </c>
      <c r="B1038">
        <v>1</v>
      </c>
      <c r="C1038">
        <v>0.94428174857386904</v>
      </c>
      <c r="D1038">
        <v>1.1156462585033999</v>
      </c>
      <c r="E1038">
        <v>1.20516457704158</v>
      </c>
      <c r="F1038">
        <v>0.99003996217321</v>
      </c>
      <c r="G1038">
        <v>0.85156035508373795</v>
      </c>
      <c r="H1038">
        <v>0.49687318873737801</v>
      </c>
      <c r="I1038">
        <v>0.77078185534303401</v>
      </c>
      <c r="J1038">
        <v>0.80863915072755599</v>
      </c>
      <c r="K1038">
        <v>0.69605869253531005</v>
      </c>
      <c r="L1038">
        <v>14253.7277721967</v>
      </c>
      <c r="M1038">
        <v>250</v>
      </c>
      <c r="O1038">
        <v>57.011265135608298</v>
      </c>
      <c r="P1038">
        <v>-0.33645958745562099</v>
      </c>
      <c r="Q1038">
        <v>0.69308822650439605</v>
      </c>
      <c r="R1038">
        <v>0.70089936848759704</v>
      </c>
      <c r="S1038" t="s">
        <v>2912</v>
      </c>
      <c r="T1038" t="s">
        <v>3746</v>
      </c>
      <c r="U1038" t="s">
        <v>3746</v>
      </c>
      <c r="V1038" t="s">
        <v>3746</v>
      </c>
      <c r="W1038" t="s">
        <v>4774</v>
      </c>
      <c r="X1038">
        <v>9</v>
      </c>
      <c r="Y1038" t="s">
        <v>6572</v>
      </c>
      <c r="Z1038" t="s">
        <v>8426</v>
      </c>
      <c r="AA1038">
        <v>0.86718815412053474</v>
      </c>
      <c r="AB1038" t="str">
        <f>HYPERLINK("Melting_Curves/meltCurve_P19652_ORM2.pdf", "Melting_Curves/meltCurve_P19652_ORM2.pdf")</f>
        <v>Melting_Curves/meltCurve_P19652_ORM2.pdf</v>
      </c>
    </row>
    <row r="1039" spans="1:28" x14ac:dyDescent="0.25">
      <c r="A1039" t="s">
        <v>1043</v>
      </c>
      <c r="B1039">
        <v>1</v>
      </c>
      <c r="C1039">
        <v>1.07310631262727</v>
      </c>
      <c r="D1039">
        <v>1.80729450190528</v>
      </c>
      <c r="E1039">
        <v>3.1348414282546</v>
      </c>
      <c r="F1039">
        <v>2.7675961208895301</v>
      </c>
      <c r="G1039">
        <v>3.04744047259017</v>
      </c>
      <c r="H1039">
        <v>1.88652997036231</v>
      </c>
      <c r="I1039">
        <v>2.8469323978305998</v>
      </c>
      <c r="J1039">
        <v>2.92022016572915</v>
      </c>
      <c r="K1039">
        <v>2.7030786911026401</v>
      </c>
      <c r="L1039">
        <v>10800.701829829901</v>
      </c>
      <c r="M1039">
        <v>250</v>
      </c>
      <c r="O1039">
        <v>43.2000555888227</v>
      </c>
      <c r="P1039">
        <v>0.72337891569019397</v>
      </c>
      <c r="Q1039">
        <v>1.5</v>
      </c>
      <c r="R1039">
        <v>-1.0581306100930601</v>
      </c>
      <c r="S1039" t="s">
        <v>2913</v>
      </c>
      <c r="T1039" t="s">
        <v>3746</v>
      </c>
      <c r="U1039" t="s">
        <v>3746</v>
      </c>
      <c r="V1039" t="s">
        <v>3746</v>
      </c>
      <c r="W1039" t="s">
        <v>4775</v>
      </c>
      <c r="X1039">
        <v>16</v>
      </c>
      <c r="Y1039" t="s">
        <v>6573</v>
      </c>
      <c r="Z1039" t="s">
        <v>8427</v>
      </c>
      <c r="AA1039">
        <v>1.4465819678791449</v>
      </c>
      <c r="AB1039" t="str">
        <f>HYPERLINK("Melting_Curves/meltCurve_P19827_ITIH1.pdf", "Melting_Curves/meltCurve_P19827_ITIH1.pdf")</f>
        <v>Melting_Curves/meltCurve_P19827_ITIH1.pdf</v>
      </c>
    </row>
    <row r="1040" spans="1:28" x14ac:dyDescent="0.25">
      <c r="A1040" t="s">
        <v>1044</v>
      </c>
      <c r="B1040">
        <v>1</v>
      </c>
      <c r="C1040">
        <v>0.88641382986825101</v>
      </c>
      <c r="D1040">
        <v>1.0626507247480499</v>
      </c>
      <c r="E1040">
        <v>1.2537125885309599</v>
      </c>
      <c r="F1040">
        <v>0.95546163023887498</v>
      </c>
      <c r="G1040">
        <v>1.80882390272383</v>
      </c>
      <c r="H1040">
        <v>1.89932221460666</v>
      </c>
      <c r="I1040">
        <v>3.16617165486254</v>
      </c>
      <c r="J1040">
        <v>3.3337141116442002</v>
      </c>
      <c r="K1040">
        <v>3.2515929226004601</v>
      </c>
      <c r="L1040">
        <v>13680.7833688102</v>
      </c>
      <c r="M1040">
        <v>250</v>
      </c>
      <c r="O1040">
        <v>54.719631546146999</v>
      </c>
      <c r="P1040">
        <v>0.57109302725649302</v>
      </c>
      <c r="Q1040">
        <v>1.5</v>
      </c>
      <c r="R1040">
        <v>-2.32814475243346E-2</v>
      </c>
      <c r="S1040" t="s">
        <v>2914</v>
      </c>
      <c r="T1040" t="s">
        <v>3746</v>
      </c>
      <c r="U1040" t="s">
        <v>3746</v>
      </c>
      <c r="V1040" t="s">
        <v>3746</v>
      </c>
      <c r="W1040" t="s">
        <v>4776</v>
      </c>
      <c r="X1040">
        <v>27</v>
      </c>
      <c r="Y1040" t="s">
        <v>6574</v>
      </c>
      <c r="Z1040" t="s">
        <v>8428</v>
      </c>
      <c r="AA1040">
        <v>1.2545664229555371</v>
      </c>
      <c r="AB1040" t="str">
        <f>HYPERLINK("Melting_Curves/meltCurve_P19835_CEL.pdf", "Melting_Curves/meltCurve_P19835_CEL.pdf")</f>
        <v>Melting_Curves/meltCurve_P19835_CEL.pdf</v>
      </c>
    </row>
    <row r="1041" spans="1:28" x14ac:dyDescent="0.25">
      <c r="A1041" t="s">
        <v>1045</v>
      </c>
      <c r="B1041">
        <v>1</v>
      </c>
      <c r="C1041">
        <v>1.01325849514563</v>
      </c>
      <c r="D1041">
        <v>1.2600424757281601</v>
      </c>
      <c r="E1041">
        <v>1.33446601941748</v>
      </c>
      <c r="F1041">
        <v>0.83577063106796101</v>
      </c>
      <c r="G1041">
        <v>1.06844660194175</v>
      </c>
      <c r="H1041">
        <v>0.62727548543689304</v>
      </c>
      <c r="I1041">
        <v>0.91972087378640799</v>
      </c>
      <c r="J1041">
        <v>0.87515169902912604</v>
      </c>
      <c r="K1041">
        <v>0.835315533980583</v>
      </c>
      <c r="L1041">
        <v>14705.416406959501</v>
      </c>
      <c r="M1041">
        <v>250</v>
      </c>
      <c r="O1041">
        <v>58.817901444388198</v>
      </c>
      <c r="P1041">
        <v>-0.19724888763213599</v>
      </c>
      <c r="Q1041">
        <v>0.814371750134399</v>
      </c>
      <c r="R1041">
        <v>0.33624126774450702</v>
      </c>
      <c r="S1041" t="s">
        <v>2915</v>
      </c>
      <c r="T1041" t="s">
        <v>3746</v>
      </c>
      <c r="U1041" t="s">
        <v>3746</v>
      </c>
      <c r="V1041" t="s">
        <v>3746</v>
      </c>
      <c r="W1041" t="s">
        <v>4777</v>
      </c>
      <c r="X1041">
        <v>2</v>
      </c>
      <c r="Y1041" t="s">
        <v>6575</v>
      </c>
      <c r="Z1041" t="s">
        <v>8429</v>
      </c>
      <c r="AA1041">
        <v>0.93085200774595833</v>
      </c>
      <c r="AB1041" t="str">
        <f>HYPERLINK("Melting_Curves/meltCurve_P19875_CXCL2.pdf", "Melting_Curves/meltCurve_P19875_CXCL2.pdf")</f>
        <v>Melting_Curves/meltCurve_P19875_CXCL2.pdf</v>
      </c>
    </row>
    <row r="1042" spans="1:28" x14ac:dyDescent="0.25">
      <c r="A1042" t="s">
        <v>1046</v>
      </c>
      <c r="B1042">
        <v>1</v>
      </c>
      <c r="C1042">
        <v>0.68934631882806796</v>
      </c>
      <c r="D1042">
        <v>1.0632368413953099</v>
      </c>
      <c r="E1042">
        <v>1.29279412954919</v>
      </c>
      <c r="F1042">
        <v>0.73607251733347701</v>
      </c>
      <c r="G1042">
        <v>0.80251976151293603</v>
      </c>
      <c r="H1042">
        <v>0.379933633690344</v>
      </c>
      <c r="I1042">
        <v>0.93962284511829897</v>
      </c>
      <c r="J1042">
        <v>0.83311301157363704</v>
      </c>
      <c r="K1042">
        <v>1.1273369843796399</v>
      </c>
      <c r="L1042">
        <v>4384.3173203509596</v>
      </c>
      <c r="M1042">
        <v>84.490806120981603</v>
      </c>
      <c r="O1042">
        <v>51.8620151624567</v>
      </c>
      <c r="P1042">
        <v>-8.0399763397249593E-2</v>
      </c>
      <c r="Q1042">
        <v>0.80259661263658699</v>
      </c>
      <c r="R1042">
        <v>0.15767700122818001</v>
      </c>
      <c r="S1042" t="s">
        <v>2916</v>
      </c>
      <c r="T1042" t="s">
        <v>3746</v>
      </c>
      <c r="U1042" t="s">
        <v>3746</v>
      </c>
      <c r="V1042" t="s">
        <v>3746</v>
      </c>
      <c r="W1042" t="s">
        <v>4778</v>
      </c>
      <c r="X1042">
        <v>4</v>
      </c>
      <c r="Y1042" t="s">
        <v>6513</v>
      </c>
      <c r="Z1042" t="s">
        <v>8430</v>
      </c>
      <c r="AA1042">
        <v>0.88099877957250672</v>
      </c>
      <c r="AB1042" t="str">
        <f>HYPERLINK("Melting_Curves/meltCurve_P20039_HLA_DRB1.pdf", "Melting_Curves/meltCurve_P20039_HLA_DRB1.pdf")</f>
        <v>Melting_Curves/meltCurve_P20039_HLA_DRB1.pdf</v>
      </c>
    </row>
    <row r="1043" spans="1:28" x14ac:dyDescent="0.25">
      <c r="A1043" t="s">
        <v>1047</v>
      </c>
      <c r="B1043">
        <v>1</v>
      </c>
      <c r="C1043">
        <v>1.02852873068017</v>
      </c>
      <c r="D1043">
        <v>1.3536000861651101</v>
      </c>
      <c r="E1043">
        <v>1.5638968172761101</v>
      </c>
      <c r="F1043">
        <v>1.04616565243147</v>
      </c>
      <c r="G1043">
        <v>1.29590984974958</v>
      </c>
      <c r="H1043">
        <v>0.71807851796004096</v>
      </c>
      <c r="I1043">
        <v>1.1661505735365401</v>
      </c>
      <c r="J1043">
        <v>1.0710054391728101</v>
      </c>
      <c r="K1043">
        <v>0.99859981689913302</v>
      </c>
      <c r="L1043">
        <v>10787.7394438213</v>
      </c>
      <c r="M1043">
        <v>250</v>
      </c>
      <c r="O1043">
        <v>43.148196939735698</v>
      </c>
      <c r="P1043">
        <v>0.21970187947981101</v>
      </c>
      <c r="Q1043">
        <v>1.15167583734719</v>
      </c>
      <c r="R1043">
        <v>6.2306475621315298E-2</v>
      </c>
      <c r="S1043" t="s">
        <v>2917</v>
      </c>
      <c r="T1043" t="s">
        <v>3746</v>
      </c>
      <c r="U1043" t="s">
        <v>3746</v>
      </c>
      <c r="V1043" t="s">
        <v>3746</v>
      </c>
      <c r="W1043" t="s">
        <v>4779</v>
      </c>
      <c r="X1043">
        <v>11</v>
      </c>
      <c r="Y1043" t="s">
        <v>6576</v>
      </c>
      <c r="Z1043" t="s">
        <v>8431</v>
      </c>
      <c r="AA1043">
        <v>1.1357335457458859</v>
      </c>
      <c r="AB1043" t="str">
        <f>HYPERLINK("Melting_Curves/meltCurve_P20061_TCN1.pdf", "Melting_Curves/meltCurve_P20061_TCN1.pdf")</f>
        <v>Melting_Curves/meltCurve_P20061_TCN1.pdf</v>
      </c>
    </row>
    <row r="1044" spans="1:28" x14ac:dyDescent="0.25">
      <c r="A1044" t="s">
        <v>1048</v>
      </c>
      <c r="B1044">
        <v>1</v>
      </c>
      <c r="C1044">
        <v>0.94400742658914305</v>
      </c>
      <c r="D1044">
        <v>1.5079396101040701</v>
      </c>
      <c r="E1044">
        <v>2.0070845751697899</v>
      </c>
      <c r="F1044">
        <v>1.39590560414325</v>
      </c>
      <c r="G1044">
        <v>1.71197537499389</v>
      </c>
      <c r="H1044">
        <v>1.0670835979869999</v>
      </c>
      <c r="I1044">
        <v>1.6462598329017399</v>
      </c>
      <c r="J1044">
        <v>1.7211608931450599</v>
      </c>
      <c r="K1044">
        <v>1.53964919138125</v>
      </c>
      <c r="L1044">
        <v>11143.2641137664</v>
      </c>
      <c r="M1044">
        <v>250</v>
      </c>
      <c r="O1044">
        <v>44.570204150170902</v>
      </c>
      <c r="P1044">
        <v>0.70114105791333403</v>
      </c>
      <c r="Q1044">
        <v>1.5</v>
      </c>
      <c r="R1044">
        <v>0.48177209821139599</v>
      </c>
      <c r="S1044" t="s">
        <v>2918</v>
      </c>
      <c r="T1044" t="s">
        <v>3746</v>
      </c>
      <c r="U1044" t="s">
        <v>3746</v>
      </c>
      <c r="V1044" t="s">
        <v>3746</v>
      </c>
      <c r="W1044" t="s">
        <v>4780</v>
      </c>
      <c r="X1044">
        <v>3</v>
      </c>
      <c r="Y1044" t="s">
        <v>6577</v>
      </c>
      <c r="Z1044" t="s">
        <v>8432</v>
      </c>
      <c r="AA1044">
        <v>1.423743279905388</v>
      </c>
      <c r="AB1044" t="str">
        <f>HYPERLINK("Melting_Curves/meltCurve_P20336_RAB3A.pdf", "Melting_Curves/meltCurve_P20336_RAB3A.pdf")</f>
        <v>Melting_Curves/meltCurve_P20336_RAB3A.pdf</v>
      </c>
    </row>
    <row r="1045" spans="1:28" x14ac:dyDescent="0.25">
      <c r="A1045" t="s">
        <v>1049</v>
      </c>
      <c r="B1045">
        <v>1</v>
      </c>
      <c r="C1045">
        <v>1.1726798580492499</v>
      </c>
      <c r="D1045">
        <v>2.0818367566405001</v>
      </c>
      <c r="E1045">
        <v>3.3433702548661102</v>
      </c>
      <c r="F1045">
        <v>2.5034949994623101</v>
      </c>
      <c r="G1045">
        <v>2.7470695773739102</v>
      </c>
      <c r="H1045">
        <v>1.96249596730831</v>
      </c>
      <c r="I1045">
        <v>2.6344230562426101</v>
      </c>
      <c r="J1045">
        <v>2.8024518765458701</v>
      </c>
      <c r="K1045">
        <v>2.5720776427572898</v>
      </c>
      <c r="L1045">
        <v>10752.4344433366</v>
      </c>
      <c r="M1045">
        <v>250</v>
      </c>
      <c r="O1045">
        <v>43.006992370977599</v>
      </c>
      <c r="P1045">
        <v>0.72662614474327303</v>
      </c>
      <c r="Q1045">
        <v>1.5</v>
      </c>
      <c r="R1045">
        <v>-1.1781354642769499</v>
      </c>
      <c r="S1045" t="s">
        <v>2919</v>
      </c>
      <c r="T1045" t="s">
        <v>3746</v>
      </c>
      <c r="U1045" t="s">
        <v>3746</v>
      </c>
      <c r="V1045" t="s">
        <v>3746</v>
      </c>
      <c r="W1045" t="s">
        <v>4781</v>
      </c>
      <c r="X1045">
        <v>6</v>
      </c>
      <c r="Y1045" t="s">
        <v>6578</v>
      </c>
      <c r="Z1045" t="s">
        <v>8433</v>
      </c>
      <c r="AA1045">
        <v>1.449799963050689</v>
      </c>
      <c r="AB1045" t="str">
        <f>HYPERLINK("Melting_Curves/meltCurve_P20618_PSMB1.pdf", "Melting_Curves/meltCurve_P20618_PSMB1.pdf")</f>
        <v>Melting_Curves/meltCurve_P20618_PSMB1.pdf</v>
      </c>
    </row>
    <row r="1046" spans="1:28" x14ac:dyDescent="0.25">
      <c r="A1046" t="s">
        <v>1050</v>
      </c>
      <c r="B1046">
        <v>1</v>
      </c>
      <c r="C1046">
        <v>1.03063980859767</v>
      </c>
      <c r="D1046">
        <v>1.6688276607239301</v>
      </c>
      <c r="E1046">
        <v>1.60708497337347</v>
      </c>
      <c r="F1046">
        <v>1.1741143783283201</v>
      </c>
      <c r="G1046">
        <v>1.4479431967276399</v>
      </c>
      <c r="H1046">
        <v>0.69296133364204704</v>
      </c>
      <c r="I1046">
        <v>1.2648761287335</v>
      </c>
      <c r="J1046">
        <v>1.20174423091765</v>
      </c>
      <c r="K1046">
        <v>1.1768156208999001</v>
      </c>
      <c r="L1046">
        <v>10814.820778485</v>
      </c>
      <c r="M1046">
        <v>250</v>
      </c>
      <c r="O1046">
        <v>43.256513067358298</v>
      </c>
      <c r="P1046">
        <v>0.40354603241687198</v>
      </c>
      <c r="Q1046">
        <v>1.2792959185029</v>
      </c>
      <c r="R1046">
        <v>0.145187146740482</v>
      </c>
      <c r="S1046" t="s">
        <v>2920</v>
      </c>
      <c r="T1046" t="s">
        <v>3746</v>
      </c>
      <c r="U1046" t="s">
        <v>3746</v>
      </c>
      <c r="V1046" t="s">
        <v>3746</v>
      </c>
      <c r="W1046" t="s">
        <v>4782</v>
      </c>
      <c r="X1046">
        <v>11</v>
      </c>
      <c r="Y1046" t="s">
        <v>6579</v>
      </c>
      <c r="Z1046" t="s">
        <v>8434</v>
      </c>
      <c r="AA1046">
        <v>1.2489312321655399</v>
      </c>
      <c r="AB1046" t="str">
        <f>HYPERLINK("Melting_Curves/meltCurve_P20742_PZP.pdf", "Melting_Curves/meltCurve_P20742_PZP.pdf")</f>
        <v>Melting_Curves/meltCurve_P20742_PZP.pdf</v>
      </c>
    </row>
    <row r="1047" spans="1:28" x14ac:dyDescent="0.25">
      <c r="A1047" t="s">
        <v>1051</v>
      </c>
      <c r="B1047">
        <v>1</v>
      </c>
      <c r="C1047">
        <v>1.0867752693689099</v>
      </c>
      <c r="D1047">
        <v>1.59209851205747</v>
      </c>
      <c r="E1047">
        <v>1.84793483837866</v>
      </c>
      <c r="F1047">
        <v>1.42932272960493</v>
      </c>
      <c r="G1047">
        <v>1.94987814263725</v>
      </c>
      <c r="H1047">
        <v>0.94724858902000997</v>
      </c>
      <c r="I1047">
        <v>1.6400397639815301</v>
      </c>
      <c r="J1047">
        <v>1.6048614674191899</v>
      </c>
      <c r="K1047">
        <v>1.60511800923551</v>
      </c>
      <c r="L1047">
        <v>10791.9526656132</v>
      </c>
      <c r="M1047">
        <v>250</v>
      </c>
      <c r="O1047">
        <v>43.165048144667502</v>
      </c>
      <c r="P1047">
        <v>0.72396536858697402</v>
      </c>
      <c r="Q1047">
        <v>1.5</v>
      </c>
      <c r="R1047">
        <v>0.37584380038975601</v>
      </c>
      <c r="S1047" t="s">
        <v>2921</v>
      </c>
      <c r="T1047" t="s">
        <v>3746</v>
      </c>
      <c r="U1047" t="s">
        <v>3746</v>
      </c>
      <c r="V1047" t="s">
        <v>3746</v>
      </c>
      <c r="W1047" t="s">
        <v>4783</v>
      </c>
      <c r="X1047">
        <v>1</v>
      </c>
      <c r="Y1047" t="s">
        <v>6580</v>
      </c>
      <c r="Z1047" t="s">
        <v>8435</v>
      </c>
      <c r="AA1047">
        <v>1.447165276201668</v>
      </c>
      <c r="AB1047" t="str">
        <f>HYPERLINK("Melting_Curves/meltCurve_P20774_OGN.pdf", "Melting_Curves/meltCurve_P20774_OGN.pdf")</f>
        <v>Melting_Curves/meltCurve_P20774_OGN.pdf</v>
      </c>
    </row>
    <row r="1048" spans="1:28" x14ac:dyDescent="0.25">
      <c r="A1048" t="s">
        <v>1052</v>
      </c>
      <c r="B1048">
        <v>1</v>
      </c>
      <c r="C1048">
        <v>1.03913080383669</v>
      </c>
      <c r="D1048">
        <v>1.2095747389864999</v>
      </c>
      <c r="E1048">
        <v>1.4136321195144701</v>
      </c>
      <c r="F1048">
        <v>0.80100161276631898</v>
      </c>
      <c r="G1048">
        <v>1.0609455903573599</v>
      </c>
      <c r="H1048">
        <v>0.55371360665478297</v>
      </c>
      <c r="I1048">
        <v>0.86333927510398101</v>
      </c>
      <c r="J1048">
        <v>0.93557422969187698</v>
      </c>
      <c r="K1048">
        <v>0.83138103726338997</v>
      </c>
      <c r="L1048">
        <v>5431.6180317621602</v>
      </c>
      <c r="M1048">
        <v>92.770507625979704</v>
      </c>
      <c r="O1048">
        <v>58.521783377160503</v>
      </c>
      <c r="P1048">
        <v>-8.0483769723391704E-2</v>
      </c>
      <c r="Q1048">
        <v>0.79691591681790197</v>
      </c>
      <c r="R1048">
        <v>0.30601179606420897</v>
      </c>
      <c r="S1048" t="s">
        <v>2922</v>
      </c>
      <c r="T1048" t="s">
        <v>3746</v>
      </c>
      <c r="U1048" t="s">
        <v>3746</v>
      </c>
      <c r="V1048" t="s">
        <v>3746</v>
      </c>
      <c r="W1048" t="s">
        <v>4784</v>
      </c>
      <c r="X1048">
        <v>4</v>
      </c>
      <c r="Y1048" t="s">
        <v>6581</v>
      </c>
      <c r="Z1048" t="s">
        <v>8436</v>
      </c>
      <c r="AA1048">
        <v>0.92263437838689588</v>
      </c>
      <c r="AB1048" t="str">
        <f>HYPERLINK("Melting_Curves/meltCurve_P20827_EFNA1.pdf", "Melting_Curves/meltCurve_P20827_EFNA1.pdf")</f>
        <v>Melting_Curves/meltCurve_P20827_EFNA1.pdf</v>
      </c>
    </row>
    <row r="1049" spans="1:28" x14ac:dyDescent="0.25">
      <c r="A1049" t="s">
        <v>1053</v>
      </c>
      <c r="B1049">
        <v>1</v>
      </c>
      <c r="C1049">
        <v>0.88843762950683802</v>
      </c>
      <c r="D1049">
        <v>1.3932863655201</v>
      </c>
      <c r="E1049">
        <v>1.1568172399502701</v>
      </c>
      <c r="F1049">
        <v>0.88039784500621598</v>
      </c>
      <c r="G1049">
        <v>1.0125155408205599</v>
      </c>
      <c r="H1049">
        <v>0.71230004144218795</v>
      </c>
      <c r="I1049">
        <v>1.0584334852880199</v>
      </c>
      <c r="J1049">
        <v>1.0576046415250699</v>
      </c>
      <c r="K1049">
        <v>1.0337339411520901</v>
      </c>
      <c r="L1049">
        <v>11074.8156429828</v>
      </c>
      <c r="M1049">
        <v>250</v>
      </c>
      <c r="O1049">
        <v>44.296427726666998</v>
      </c>
      <c r="P1049">
        <v>5.3728063515197801E-2</v>
      </c>
      <c r="Q1049">
        <v>1.0380793804619</v>
      </c>
      <c r="R1049">
        <v>2.6903379706363601E-2</v>
      </c>
      <c r="S1049" t="s">
        <v>2923</v>
      </c>
      <c r="T1049" t="s">
        <v>3746</v>
      </c>
      <c r="U1049" t="s">
        <v>3746</v>
      </c>
      <c r="V1049" t="s">
        <v>3746</v>
      </c>
      <c r="W1049" t="s">
        <v>4785</v>
      </c>
      <c r="X1049">
        <v>2</v>
      </c>
      <c r="Y1049" t="s">
        <v>6582</v>
      </c>
      <c r="Z1049" t="s">
        <v>8437</v>
      </c>
      <c r="AA1049">
        <v>1.0326193114928091</v>
      </c>
      <c r="AB1049" t="str">
        <f>HYPERLINK("Melting_Curves/meltCurve_P20851_2_C4BPB.pdf", "Melting_Curves/meltCurve_P20851_2_C4BPB.pdf")</f>
        <v>Melting_Curves/meltCurve_P20851_2_C4BPB.pdf</v>
      </c>
    </row>
    <row r="1050" spans="1:28" x14ac:dyDescent="0.25">
      <c r="A1050" t="s">
        <v>1054</v>
      </c>
      <c r="B1050">
        <v>1</v>
      </c>
      <c r="C1050">
        <v>1.12386736070947</v>
      </c>
      <c r="D1050">
        <v>1.5531456847246301</v>
      </c>
      <c r="E1050">
        <v>1.44039586144849</v>
      </c>
      <c r="F1050">
        <v>1.0832530043056401</v>
      </c>
      <c r="G1050">
        <v>1.8613199665831199</v>
      </c>
      <c r="H1050">
        <v>0.48319516740569401</v>
      </c>
      <c r="I1050">
        <v>1.16981556455241</v>
      </c>
      <c r="J1050">
        <v>0.93923912344964999</v>
      </c>
      <c r="K1050">
        <v>0.99476254739412595</v>
      </c>
      <c r="L1050">
        <v>1380.13599685028</v>
      </c>
      <c r="M1050">
        <v>21.742575532854001</v>
      </c>
      <c r="O1050">
        <v>62.946548871489803</v>
      </c>
      <c r="P1050">
        <v>-1.8946501586025999E-3</v>
      </c>
      <c r="Q1050">
        <v>0.97805983647027095</v>
      </c>
      <c r="R1050">
        <v>-0.20979399087752501</v>
      </c>
      <c r="S1050" t="s">
        <v>2924</v>
      </c>
      <c r="T1050" t="s">
        <v>3746</v>
      </c>
      <c r="U1050" t="s">
        <v>3746</v>
      </c>
      <c r="V1050" t="s">
        <v>3746</v>
      </c>
      <c r="W1050" t="s">
        <v>4786</v>
      </c>
      <c r="X1050">
        <v>3</v>
      </c>
      <c r="Y1050" t="s">
        <v>6583</v>
      </c>
      <c r="Z1050" t="s">
        <v>8438</v>
      </c>
      <c r="AA1050">
        <v>0.99520029815207878</v>
      </c>
      <c r="AB1050" t="str">
        <f>HYPERLINK("Melting_Curves/meltCurve_P20933_AGA.pdf", "Melting_Curves/meltCurve_P20933_AGA.pdf")</f>
        <v>Melting_Curves/meltCurve_P20933_AGA.pdf</v>
      </c>
    </row>
    <row r="1051" spans="1:28" x14ac:dyDescent="0.25">
      <c r="A1051" t="s">
        <v>1055</v>
      </c>
      <c r="B1051">
        <v>1</v>
      </c>
      <c r="C1051">
        <v>1.24343174431203</v>
      </c>
      <c r="D1051">
        <v>2.0612360057782602</v>
      </c>
      <c r="E1051">
        <v>3.0945287107258901</v>
      </c>
      <c r="F1051">
        <v>2.2668382087396202</v>
      </c>
      <c r="G1051">
        <v>2.23085951607078</v>
      </c>
      <c r="H1051">
        <v>2.06414770675334</v>
      </c>
      <c r="I1051">
        <v>2.6868905742145199</v>
      </c>
      <c r="J1051">
        <v>2.8374413145539901</v>
      </c>
      <c r="K1051">
        <v>2.61601661249549</v>
      </c>
      <c r="L1051">
        <v>10727.254707829199</v>
      </c>
      <c r="M1051">
        <v>250</v>
      </c>
      <c r="O1051">
        <v>42.906258774645103</v>
      </c>
      <c r="P1051">
        <v>0.72833172967459503</v>
      </c>
      <c r="Q1051">
        <v>1.5</v>
      </c>
      <c r="R1051">
        <v>-1.17773216936137</v>
      </c>
      <c r="S1051" t="s">
        <v>2925</v>
      </c>
      <c r="T1051" t="s">
        <v>3746</v>
      </c>
      <c r="U1051" t="s">
        <v>3746</v>
      </c>
      <c r="V1051" t="s">
        <v>3746</v>
      </c>
      <c r="W1051" t="s">
        <v>4787</v>
      </c>
      <c r="X1051">
        <v>2</v>
      </c>
      <c r="Y1051" t="s">
        <v>6584</v>
      </c>
      <c r="Z1051" t="s">
        <v>8439</v>
      </c>
      <c r="AA1051">
        <v>1.451478700449921</v>
      </c>
      <c r="AB1051" t="str">
        <f>HYPERLINK("Melting_Curves/meltCurve_P21281_ATP6V1B2.pdf", "Melting_Curves/meltCurve_P21281_ATP6V1B2.pdf")</f>
        <v>Melting_Curves/meltCurve_P21281_ATP6V1B2.pdf</v>
      </c>
    </row>
    <row r="1052" spans="1:28" x14ac:dyDescent="0.25">
      <c r="A1052" t="s">
        <v>1056</v>
      </c>
      <c r="B1052">
        <v>1</v>
      </c>
      <c r="C1052">
        <v>1.1337834894358501</v>
      </c>
      <c r="D1052">
        <v>1.9263341319973899</v>
      </c>
      <c r="E1052">
        <v>2.8514920496623799</v>
      </c>
      <c r="F1052">
        <v>2.1430625136135899</v>
      </c>
      <c r="G1052">
        <v>2.63659333478545</v>
      </c>
      <c r="H1052">
        <v>1.77033326072751</v>
      </c>
      <c r="I1052">
        <v>2.8338052711827499</v>
      </c>
      <c r="J1052">
        <v>3.0655194946634698</v>
      </c>
      <c r="K1052">
        <v>2.88486168590721</v>
      </c>
      <c r="L1052">
        <v>10768.2002751286</v>
      </c>
      <c r="M1052">
        <v>250</v>
      </c>
      <c r="O1052">
        <v>43.070044966129998</v>
      </c>
      <c r="P1052">
        <v>0.72556228429149805</v>
      </c>
      <c r="Q1052">
        <v>1.5</v>
      </c>
      <c r="R1052">
        <v>-0.96006206552934004</v>
      </c>
      <c r="S1052" t="s">
        <v>2926</v>
      </c>
      <c r="T1052" t="s">
        <v>3746</v>
      </c>
      <c r="U1052" t="s">
        <v>3746</v>
      </c>
      <c r="V1052" t="s">
        <v>3746</v>
      </c>
      <c r="W1052" t="s">
        <v>4788</v>
      </c>
      <c r="X1052">
        <v>25</v>
      </c>
      <c r="Y1052" t="s">
        <v>6585</v>
      </c>
      <c r="Z1052" t="s">
        <v>8440</v>
      </c>
      <c r="AA1052">
        <v>1.448748852265755</v>
      </c>
      <c r="AB1052" t="str">
        <f>HYPERLINK("Melting_Curves/meltCurve_P21399_ACO1.pdf", "Melting_Curves/meltCurve_P21399_ACO1.pdf")</f>
        <v>Melting_Curves/meltCurve_P21399_ACO1.pdf</v>
      </c>
    </row>
    <row r="1053" spans="1:28" x14ac:dyDescent="0.25">
      <c r="A1053" t="s">
        <v>1057</v>
      </c>
      <c r="B1053">
        <v>1</v>
      </c>
      <c r="C1053">
        <v>1.0714589084731401</v>
      </c>
      <c r="D1053">
        <v>1.78781765413747</v>
      </c>
      <c r="E1053">
        <v>2.4029871876548499</v>
      </c>
      <c r="F1053">
        <v>2.0978268563743199</v>
      </c>
      <c r="G1053">
        <v>2.1981312380547902</v>
      </c>
      <c r="H1053">
        <v>1.3886883273164901</v>
      </c>
      <c r="I1053">
        <v>2.25270758122744</v>
      </c>
      <c r="J1053">
        <v>2.2017059531393799</v>
      </c>
      <c r="K1053">
        <v>1.94719331776032</v>
      </c>
      <c r="L1053">
        <v>10801.8448450579</v>
      </c>
      <c r="M1053">
        <v>250</v>
      </c>
      <c r="O1053">
        <v>43.204602077039901</v>
      </c>
      <c r="P1053">
        <v>0.72330237024016797</v>
      </c>
      <c r="Q1053">
        <v>1.5</v>
      </c>
      <c r="R1053">
        <v>-0.29552575836836698</v>
      </c>
      <c r="S1053" t="s">
        <v>2927</v>
      </c>
      <c r="T1053" t="s">
        <v>3746</v>
      </c>
      <c r="U1053" t="s">
        <v>3746</v>
      </c>
      <c r="V1053" t="s">
        <v>3746</v>
      </c>
      <c r="W1053" t="s">
        <v>4789</v>
      </c>
      <c r="X1053">
        <v>8</v>
      </c>
      <c r="Y1053" t="s">
        <v>6586</v>
      </c>
      <c r="Z1053" t="s">
        <v>8441</v>
      </c>
      <c r="AA1053">
        <v>1.4465057628521381</v>
      </c>
      <c r="AB1053" t="str">
        <f>HYPERLINK("Melting_Curves/meltCurve_P21695_2_GPD1.pdf", "Melting_Curves/meltCurve_P21695_2_GPD1.pdf")</f>
        <v>Melting_Curves/meltCurve_P21695_2_GPD1.pdf</v>
      </c>
    </row>
    <row r="1054" spans="1:28" x14ac:dyDescent="0.25">
      <c r="A1054" t="s">
        <v>1058</v>
      </c>
      <c r="B1054">
        <v>1</v>
      </c>
      <c r="C1054">
        <v>0.89886996226257698</v>
      </c>
      <c r="D1054">
        <v>1.48009924316661</v>
      </c>
      <c r="E1054">
        <v>1.9896586952442501</v>
      </c>
      <c r="F1054">
        <v>1.77834997810812</v>
      </c>
      <c r="G1054">
        <v>2.2259866980797698</v>
      </c>
      <c r="H1054">
        <v>1.16527323144924</v>
      </c>
      <c r="I1054">
        <v>2.3435773408669198</v>
      </c>
      <c r="J1054">
        <v>2.2328670016470999</v>
      </c>
      <c r="K1054">
        <v>1.9848633321518701</v>
      </c>
      <c r="L1054">
        <v>11353.574143674499</v>
      </c>
      <c r="M1054">
        <v>250</v>
      </c>
      <c r="O1054">
        <v>45.411373209003997</v>
      </c>
      <c r="P1054">
        <v>0.68815334035155795</v>
      </c>
      <c r="Q1054">
        <v>1.5</v>
      </c>
      <c r="R1054">
        <v>6.15515015070945E-2</v>
      </c>
      <c r="S1054" t="s">
        <v>2928</v>
      </c>
      <c r="T1054" t="s">
        <v>3746</v>
      </c>
      <c r="U1054" t="s">
        <v>3746</v>
      </c>
      <c r="V1054" t="s">
        <v>3746</v>
      </c>
      <c r="W1054" t="s">
        <v>4790</v>
      </c>
      <c r="X1054">
        <v>5</v>
      </c>
      <c r="Y1054" t="s">
        <v>6587</v>
      </c>
      <c r="Z1054" t="s">
        <v>8442</v>
      </c>
      <c r="AA1054">
        <v>1.40972187306319</v>
      </c>
      <c r="AB1054" t="str">
        <f>HYPERLINK("Melting_Curves/meltCurve_P21964_2_COMT.pdf", "Melting_Curves/meltCurve_P21964_2_COMT.pdf")</f>
        <v>Melting_Curves/meltCurve_P21964_2_COMT.pdf</v>
      </c>
    </row>
    <row r="1055" spans="1:28" x14ac:dyDescent="0.25">
      <c r="A1055" t="s">
        <v>1059</v>
      </c>
      <c r="B1055">
        <v>1</v>
      </c>
      <c r="C1055">
        <v>1.9917889256980601</v>
      </c>
      <c r="D1055">
        <v>2.24171793658306</v>
      </c>
      <c r="E1055">
        <v>3.1171320397539</v>
      </c>
      <c r="F1055">
        <v>1.5955986748698501</v>
      </c>
      <c r="G1055">
        <v>2.54472314245149</v>
      </c>
      <c r="H1055">
        <v>1.72849029815428</v>
      </c>
      <c r="I1055">
        <v>4.5248461902508303</v>
      </c>
      <c r="J1055">
        <v>3.8894936109796499</v>
      </c>
      <c r="K1055">
        <v>4.4725508755324199</v>
      </c>
      <c r="L1055">
        <v>1.0000000000000001E-5</v>
      </c>
      <c r="M1055">
        <v>37.296910234776199</v>
      </c>
      <c r="Q1055">
        <v>1.5</v>
      </c>
      <c r="R1055">
        <v>-1.0582972123100201</v>
      </c>
      <c r="S1055" t="s">
        <v>2929</v>
      </c>
      <c r="T1055" t="s">
        <v>3746</v>
      </c>
      <c r="U1055" t="s">
        <v>3746</v>
      </c>
      <c r="V1055" t="s">
        <v>3746</v>
      </c>
      <c r="W1055" t="s">
        <v>4791</v>
      </c>
      <c r="X1055">
        <v>1</v>
      </c>
      <c r="Y1055" t="s">
        <v>6588</v>
      </c>
      <c r="Z1055" t="s">
        <v>8443</v>
      </c>
      <c r="AA1055">
        <v>1.5</v>
      </c>
      <c r="AB1055" t="str">
        <f>HYPERLINK("Melting_Curves/meltCurve_P22059_OSBP.pdf", "Melting_Curves/meltCurve_P22059_OSBP.pdf")</f>
        <v>Melting_Curves/meltCurve_P22059_OSBP.pdf</v>
      </c>
    </row>
    <row r="1056" spans="1:28" x14ac:dyDescent="0.25">
      <c r="A1056" t="s">
        <v>1060</v>
      </c>
      <c r="B1056">
        <v>1</v>
      </c>
      <c r="C1056">
        <v>1.09428671573782</v>
      </c>
      <c r="D1056">
        <v>1.5028391167192401</v>
      </c>
      <c r="E1056">
        <v>1.6644935155976199</v>
      </c>
      <c r="F1056">
        <v>1.34342797055731</v>
      </c>
      <c r="G1056">
        <v>1.32681388012618</v>
      </c>
      <c r="H1056">
        <v>0.85657202944269195</v>
      </c>
      <c r="I1056">
        <v>1.22663862600771</v>
      </c>
      <c r="J1056">
        <v>1.28741675429373</v>
      </c>
      <c r="K1056">
        <v>1.1678233438485801</v>
      </c>
      <c r="L1056">
        <v>10757.838511808999</v>
      </c>
      <c r="M1056">
        <v>250</v>
      </c>
      <c r="O1056">
        <v>43.028598234249003</v>
      </c>
      <c r="P1056">
        <v>0.43140369209159901</v>
      </c>
      <c r="Q1056">
        <v>1.2970031524016301</v>
      </c>
      <c r="R1056">
        <v>0.208455375904565</v>
      </c>
      <c r="S1056" t="s">
        <v>2930</v>
      </c>
      <c r="T1056" t="s">
        <v>3746</v>
      </c>
      <c r="U1056" t="s">
        <v>3746</v>
      </c>
      <c r="V1056" t="s">
        <v>3746</v>
      </c>
      <c r="W1056" t="s">
        <v>4792</v>
      </c>
      <c r="X1056">
        <v>27</v>
      </c>
      <c r="Y1056" t="s">
        <v>6589</v>
      </c>
      <c r="Z1056" t="s">
        <v>8444</v>
      </c>
      <c r="AA1056">
        <v>1.2669699993035139</v>
      </c>
      <c r="AB1056" t="str">
        <f>HYPERLINK("Melting_Curves/meltCurve_P22079_LPO.pdf", "Melting_Curves/meltCurve_P22079_LPO.pdf")</f>
        <v>Melting_Curves/meltCurve_P22079_LPO.pdf</v>
      </c>
    </row>
    <row r="1057" spans="1:28" x14ac:dyDescent="0.25">
      <c r="A1057" t="s">
        <v>1061</v>
      </c>
      <c r="B1057">
        <v>1</v>
      </c>
      <c r="C1057">
        <v>1.1079486131917</v>
      </c>
      <c r="D1057">
        <v>1.8494257569567401</v>
      </c>
      <c r="E1057">
        <v>2.6900903354668801</v>
      </c>
      <c r="F1057">
        <v>2.2478551000953302</v>
      </c>
      <c r="G1057">
        <v>2.65073312451768</v>
      </c>
      <c r="H1057">
        <v>1.67134232148531</v>
      </c>
      <c r="I1057">
        <v>2.7597258159698601</v>
      </c>
      <c r="J1057">
        <v>2.9122520314131402</v>
      </c>
      <c r="K1057">
        <v>2.8816559989105301</v>
      </c>
      <c r="L1057">
        <v>10780.329586869801</v>
      </c>
      <c r="M1057">
        <v>250</v>
      </c>
      <c r="O1057">
        <v>43.118558875737001</v>
      </c>
      <c r="P1057">
        <v>0.72474592973949503</v>
      </c>
      <c r="Q1057">
        <v>1.5</v>
      </c>
      <c r="R1057">
        <v>-0.87824544728687104</v>
      </c>
      <c r="S1057" t="s">
        <v>2931</v>
      </c>
      <c r="T1057" t="s">
        <v>3746</v>
      </c>
      <c r="U1057" t="s">
        <v>3746</v>
      </c>
      <c r="V1057" t="s">
        <v>3746</v>
      </c>
      <c r="W1057" t="s">
        <v>4793</v>
      </c>
      <c r="X1057">
        <v>3</v>
      </c>
      <c r="Y1057" t="s">
        <v>6590</v>
      </c>
      <c r="Z1057" t="s">
        <v>8445</v>
      </c>
      <c r="AA1057">
        <v>1.447940188912445</v>
      </c>
      <c r="AB1057" t="str">
        <f>HYPERLINK("Melting_Curves/meltCurve_P22102_GART.pdf", "Melting_Curves/meltCurve_P22102_GART.pdf")</f>
        <v>Melting_Curves/meltCurve_P22102_GART.pdf</v>
      </c>
    </row>
    <row r="1058" spans="1:28" x14ac:dyDescent="0.25">
      <c r="A1058" t="s">
        <v>1062</v>
      </c>
      <c r="B1058">
        <v>1</v>
      </c>
      <c r="C1058">
        <v>1.0074722788736701</v>
      </c>
      <c r="D1058">
        <v>1.05227167560712</v>
      </c>
      <c r="E1058">
        <v>1.2022314007095201</v>
      </c>
      <c r="F1058">
        <v>0.88181459836501097</v>
      </c>
      <c r="G1058">
        <v>1.0226739104354801</v>
      </c>
      <c r="H1058">
        <v>0.441618536735848</v>
      </c>
      <c r="I1058">
        <v>0.91617679823133202</v>
      </c>
      <c r="J1058">
        <v>0.76033865190491701</v>
      </c>
      <c r="K1058">
        <v>0.76553154295703496</v>
      </c>
      <c r="L1058">
        <v>14661.0691074512</v>
      </c>
      <c r="M1058">
        <v>250</v>
      </c>
      <c r="O1058">
        <v>58.640523718336397</v>
      </c>
      <c r="P1058">
        <v>-0.29744724724249599</v>
      </c>
      <c r="Q1058">
        <v>0.720920603251192</v>
      </c>
      <c r="R1058">
        <v>0.55441317038984095</v>
      </c>
      <c r="S1058" t="s">
        <v>2932</v>
      </c>
      <c r="T1058" t="s">
        <v>3746</v>
      </c>
      <c r="U1058" t="s">
        <v>3746</v>
      </c>
      <c r="V1058" t="s">
        <v>3746</v>
      </c>
      <c r="W1058" t="s">
        <v>4794</v>
      </c>
      <c r="X1058">
        <v>2</v>
      </c>
      <c r="Y1058" t="s">
        <v>6591</v>
      </c>
      <c r="Z1058" t="s">
        <v>8446</v>
      </c>
      <c r="AA1058">
        <v>0.89439044000637435</v>
      </c>
      <c r="AB1058" t="str">
        <f>HYPERLINK("Melting_Curves/meltCurve_P22223_2_CDH3.pdf", "Melting_Curves/meltCurve_P22223_2_CDH3.pdf")</f>
        <v>Melting_Curves/meltCurve_P22223_2_CDH3.pdf</v>
      </c>
    </row>
    <row r="1059" spans="1:28" x14ac:dyDescent="0.25">
      <c r="A1059" t="s">
        <v>1063</v>
      </c>
      <c r="B1059">
        <v>1</v>
      </c>
      <c r="C1059">
        <v>0.79147859922178998</v>
      </c>
      <c r="D1059">
        <v>1.1630155642023301</v>
      </c>
      <c r="E1059">
        <v>1.4136186770428001</v>
      </c>
      <c r="F1059">
        <v>1.0321400778210099</v>
      </c>
      <c r="G1059">
        <v>1.1940661478599199</v>
      </c>
      <c r="H1059">
        <v>0.60077821011673105</v>
      </c>
      <c r="I1059">
        <v>0.96727626459144</v>
      </c>
      <c r="J1059">
        <v>0.86527237354085595</v>
      </c>
      <c r="K1059">
        <v>0.84912451361867702</v>
      </c>
      <c r="L1059">
        <v>4342.5648190105503</v>
      </c>
      <c r="M1059">
        <v>73.713100256782695</v>
      </c>
      <c r="O1059">
        <v>58.868406122098499</v>
      </c>
      <c r="P1059">
        <v>-5.45685536774402E-2</v>
      </c>
      <c r="Q1059">
        <v>0.82568294652505503</v>
      </c>
      <c r="R1059">
        <v>0.24141152074318301</v>
      </c>
      <c r="S1059" t="s">
        <v>2933</v>
      </c>
      <c r="T1059" t="s">
        <v>3746</v>
      </c>
      <c r="U1059" t="s">
        <v>3746</v>
      </c>
      <c r="V1059" t="s">
        <v>3746</v>
      </c>
      <c r="W1059" t="s">
        <v>4795</v>
      </c>
      <c r="X1059">
        <v>2</v>
      </c>
      <c r="Y1059" t="s">
        <v>6592</v>
      </c>
      <c r="Z1059" t="s">
        <v>8447</v>
      </c>
      <c r="AA1059">
        <v>0.93577846424191025</v>
      </c>
      <c r="AB1059" t="str">
        <f>HYPERLINK("Melting_Curves/meltCurve_P22304_IDS.pdf", "Melting_Curves/meltCurve_P22304_IDS.pdf")</f>
        <v>Melting_Curves/meltCurve_P22304_IDS.pdf</v>
      </c>
    </row>
    <row r="1060" spans="1:28" x14ac:dyDescent="0.25">
      <c r="A1060" t="s">
        <v>1064</v>
      </c>
      <c r="B1060">
        <v>1</v>
      </c>
      <c r="C1060">
        <v>1.08077756616536</v>
      </c>
      <c r="D1060">
        <v>1.3736126617193101</v>
      </c>
      <c r="E1060">
        <v>1.6627044066460901</v>
      </c>
      <c r="F1060">
        <v>1.20726341367308</v>
      </c>
      <c r="G1060">
        <v>1.46870690221317</v>
      </c>
      <c r="H1060">
        <v>0.87574702830498496</v>
      </c>
      <c r="I1060">
        <v>1.41071780390097</v>
      </c>
      <c r="J1060">
        <v>1.3883233729559299</v>
      </c>
      <c r="K1060">
        <v>1.2946082616405099</v>
      </c>
      <c r="L1060">
        <v>10774.2207785398</v>
      </c>
      <c r="M1060">
        <v>250</v>
      </c>
      <c r="O1060">
        <v>43.094125221186403</v>
      </c>
      <c r="P1060">
        <v>0.48616035921408401</v>
      </c>
      <c r="Q1060">
        <v>1.33521048579914</v>
      </c>
      <c r="R1060">
        <v>0.28099834174798</v>
      </c>
      <c r="S1060" t="s">
        <v>2934</v>
      </c>
      <c r="T1060" t="s">
        <v>3746</v>
      </c>
      <c r="U1060" t="s">
        <v>3746</v>
      </c>
      <c r="V1060" t="s">
        <v>3746</v>
      </c>
      <c r="W1060" t="s">
        <v>4796</v>
      </c>
      <c r="X1060">
        <v>7</v>
      </c>
      <c r="Y1060" t="s">
        <v>6593</v>
      </c>
      <c r="Z1060" t="s">
        <v>8448</v>
      </c>
      <c r="AA1060">
        <v>1.3005815425903899</v>
      </c>
      <c r="AB1060" t="str">
        <f>HYPERLINK("Melting_Curves/meltCurve_P22307_4_SCP2.pdf", "Melting_Curves/meltCurve_P22307_4_SCP2.pdf")</f>
        <v>Melting_Curves/meltCurve_P22307_4_SCP2.pdf</v>
      </c>
    </row>
    <row r="1061" spans="1:28" x14ac:dyDescent="0.25">
      <c r="A1061" t="s">
        <v>1065</v>
      </c>
      <c r="B1061">
        <v>1</v>
      </c>
      <c r="C1061">
        <v>1.00659976738525</v>
      </c>
      <c r="D1061">
        <v>1.3689378161261501</v>
      </c>
      <c r="E1061">
        <v>2.0087636255443502</v>
      </c>
      <c r="F1061">
        <v>1.87292742960699</v>
      </c>
      <c r="G1061">
        <v>2.23610397338454</v>
      </c>
      <c r="H1061">
        <v>2.0356766113981202</v>
      </c>
      <c r="I1061">
        <v>3.50761407589733</v>
      </c>
      <c r="J1061">
        <v>3.9760893673419702</v>
      </c>
      <c r="K1061">
        <v>3.6588136647642702</v>
      </c>
      <c r="S1061" t="s">
        <v>2935</v>
      </c>
      <c r="T1061" t="s">
        <v>3746</v>
      </c>
      <c r="U1061" t="s">
        <v>3747</v>
      </c>
      <c r="V1061" t="s">
        <v>3746</v>
      </c>
      <c r="W1061" t="s">
        <v>4797</v>
      </c>
      <c r="X1061">
        <v>10</v>
      </c>
      <c r="Y1061" t="s">
        <v>6594</v>
      </c>
      <c r="Z1061" t="s">
        <v>8449</v>
      </c>
      <c r="AB1061" t="str">
        <f>HYPERLINK("Melting_Curves/meltCurve_P22314_UBA1.pdf", "Melting_Curves/meltCurve_P22314_UBA1.pdf")</f>
        <v>Melting_Curves/meltCurve_P22314_UBA1.pdf</v>
      </c>
    </row>
    <row r="1062" spans="1:28" x14ac:dyDescent="0.25">
      <c r="A1062" t="s">
        <v>1066</v>
      </c>
      <c r="B1062">
        <v>1</v>
      </c>
      <c r="C1062">
        <v>1.12959388821874</v>
      </c>
      <c r="D1062">
        <v>1.8207478890229201</v>
      </c>
      <c r="E1062">
        <v>2.3708082026538002</v>
      </c>
      <c r="F1062">
        <v>1.9152794531564099</v>
      </c>
      <c r="G1062">
        <v>2.2540812223562501</v>
      </c>
      <c r="H1062">
        <v>1.3131081624447101</v>
      </c>
      <c r="I1062">
        <v>1.9343385605146799</v>
      </c>
      <c r="J1062">
        <v>2.0434660233212698</v>
      </c>
      <c r="K1062">
        <v>1.8129473260957001</v>
      </c>
      <c r="L1062">
        <v>10770.053249439399</v>
      </c>
      <c r="M1062">
        <v>250</v>
      </c>
      <c r="O1062">
        <v>43.077456332776002</v>
      </c>
      <c r="P1062">
        <v>0.72543745220004796</v>
      </c>
      <c r="Q1062">
        <v>1.5</v>
      </c>
      <c r="R1062">
        <v>-0.147870898635069</v>
      </c>
      <c r="S1062" t="s">
        <v>2936</v>
      </c>
      <c r="T1062" t="s">
        <v>3746</v>
      </c>
      <c r="U1062" t="s">
        <v>3746</v>
      </c>
      <c r="V1062" t="s">
        <v>3746</v>
      </c>
      <c r="W1062" t="s">
        <v>4798</v>
      </c>
      <c r="X1062">
        <v>7</v>
      </c>
      <c r="Y1062" t="s">
        <v>6595</v>
      </c>
      <c r="Z1062" t="s">
        <v>8450</v>
      </c>
      <c r="AA1062">
        <v>1.4486253141416621</v>
      </c>
      <c r="AB1062" t="str">
        <f>HYPERLINK("Melting_Curves/meltCurve_P22352_GPX3.pdf", "Melting_Curves/meltCurve_P22352_GPX3.pdf")</f>
        <v>Melting_Curves/meltCurve_P22352_GPX3.pdf</v>
      </c>
    </row>
    <row r="1063" spans="1:28" x14ac:dyDescent="0.25">
      <c r="A1063" t="s">
        <v>1067</v>
      </c>
      <c r="B1063">
        <v>1</v>
      </c>
      <c r="C1063">
        <v>1.0435161902807</v>
      </c>
      <c r="D1063">
        <v>1.3446913326833301</v>
      </c>
      <c r="E1063">
        <v>1.62680248370709</v>
      </c>
      <c r="F1063">
        <v>1.4449119926104601</v>
      </c>
      <c r="G1063">
        <v>1.67745163442295</v>
      </c>
      <c r="H1063">
        <v>1.16233899522759</v>
      </c>
      <c r="I1063">
        <v>1.79840406424796</v>
      </c>
      <c r="J1063">
        <v>1.9316723969826</v>
      </c>
      <c r="K1063">
        <v>1.7264330066197999</v>
      </c>
      <c r="L1063">
        <v>2408.36437649347</v>
      </c>
      <c r="M1063">
        <v>53.228642880737098</v>
      </c>
      <c r="O1063">
        <v>45.181918704018301</v>
      </c>
      <c r="P1063">
        <v>0.14726210926681599</v>
      </c>
      <c r="Q1063">
        <v>1.5</v>
      </c>
      <c r="R1063">
        <v>0.49119121328725202</v>
      </c>
      <c r="S1063" t="s">
        <v>2937</v>
      </c>
      <c r="T1063" t="s">
        <v>3746</v>
      </c>
      <c r="U1063" t="s">
        <v>3746</v>
      </c>
      <c r="V1063" t="s">
        <v>3746</v>
      </c>
      <c r="W1063" t="s">
        <v>4799</v>
      </c>
      <c r="X1063">
        <v>1</v>
      </c>
      <c r="Y1063" t="s">
        <v>6596</v>
      </c>
      <c r="Z1063" t="s">
        <v>8451</v>
      </c>
      <c r="AA1063">
        <v>1.4116826545925509</v>
      </c>
      <c r="AB1063" t="str">
        <f>HYPERLINK("Melting_Curves/meltCurve_P22626_2_HNRNPA2B1.pdf", "Melting_Curves/meltCurve_P22626_2_HNRNPA2B1.pdf")</f>
        <v>Melting_Curves/meltCurve_P22626_2_HNRNPA2B1.pdf</v>
      </c>
    </row>
    <row r="1064" spans="1:28" x14ac:dyDescent="0.25">
      <c r="A1064" t="s">
        <v>1068</v>
      </c>
      <c r="B1064">
        <v>1</v>
      </c>
      <c r="C1064">
        <v>0.83976529000225697</v>
      </c>
      <c r="D1064">
        <v>1.1897427217332399</v>
      </c>
      <c r="E1064">
        <v>1.21609117580682</v>
      </c>
      <c r="F1064">
        <v>0.95714849921011103</v>
      </c>
      <c r="G1064">
        <v>1.07391108102009</v>
      </c>
      <c r="H1064">
        <v>0.56172421575265197</v>
      </c>
      <c r="I1064">
        <v>0.90924734822839104</v>
      </c>
      <c r="J1064">
        <v>0.88983863687655196</v>
      </c>
      <c r="K1064">
        <v>0.79321823516136303</v>
      </c>
      <c r="L1064">
        <v>14701.9735293392</v>
      </c>
      <c r="M1064">
        <v>250</v>
      </c>
      <c r="O1064">
        <v>58.804126110471103</v>
      </c>
      <c r="P1064">
        <v>-0.224777739771132</v>
      </c>
      <c r="Q1064">
        <v>0.78851424645196699</v>
      </c>
      <c r="R1064">
        <v>0.43276894644033498</v>
      </c>
      <c r="S1064" t="s">
        <v>2938</v>
      </c>
      <c r="T1064" t="s">
        <v>3746</v>
      </c>
      <c r="U1064" t="s">
        <v>3746</v>
      </c>
      <c r="V1064" t="s">
        <v>3746</v>
      </c>
      <c r="W1064" t="s">
        <v>4800</v>
      </c>
      <c r="X1064">
        <v>1</v>
      </c>
      <c r="Y1064" t="s">
        <v>6597</v>
      </c>
      <c r="Z1064" t="s">
        <v>8452</v>
      </c>
      <c r="AA1064">
        <v>0.92112279525124374</v>
      </c>
      <c r="AB1064" t="str">
        <f>HYPERLINK("Melting_Curves/meltCurve_P22674_CCNO.pdf", "Melting_Curves/meltCurve_P22674_CCNO.pdf")</f>
        <v>Melting_Curves/meltCurve_P22674_CCNO.pdf</v>
      </c>
    </row>
    <row r="1065" spans="1:28" x14ac:dyDescent="0.25">
      <c r="A1065" t="s">
        <v>1069</v>
      </c>
      <c r="B1065">
        <v>1</v>
      </c>
      <c r="C1065">
        <v>1.07790572148255</v>
      </c>
      <c r="D1065">
        <v>1.3226880172724</v>
      </c>
      <c r="E1065">
        <v>1.4963116228859299</v>
      </c>
      <c r="F1065">
        <v>1.10948182799568</v>
      </c>
      <c r="G1065">
        <v>1.2410039582583701</v>
      </c>
      <c r="H1065">
        <v>0.66480748470672901</v>
      </c>
      <c r="I1065">
        <v>1.0988664987405501</v>
      </c>
      <c r="J1065">
        <v>1.0484886649874099</v>
      </c>
      <c r="K1065">
        <v>0.96518531845987798</v>
      </c>
      <c r="L1065">
        <v>15000</v>
      </c>
      <c r="M1065">
        <v>210.96332788049</v>
      </c>
      <c r="Q1065">
        <v>0</v>
      </c>
      <c r="R1065">
        <v>-0.232066223453258</v>
      </c>
      <c r="S1065" t="s">
        <v>2939</v>
      </c>
      <c r="T1065" t="s">
        <v>3746</v>
      </c>
      <c r="U1065" t="s">
        <v>3746</v>
      </c>
      <c r="V1065" t="s">
        <v>3746</v>
      </c>
      <c r="W1065" t="s">
        <v>4801</v>
      </c>
      <c r="X1065">
        <v>9</v>
      </c>
      <c r="Y1065" t="s">
        <v>6598</v>
      </c>
      <c r="Z1065" t="s">
        <v>8453</v>
      </c>
      <c r="AA1065">
        <v>0.9996177732568261</v>
      </c>
      <c r="AB1065" t="str">
        <f>HYPERLINK("Melting_Curves/meltCurve_P22676_CALB2.pdf", "Melting_Curves/meltCurve_P22676_CALB2.pdf")</f>
        <v>Melting_Curves/meltCurve_P22676_CALB2.pdf</v>
      </c>
    </row>
    <row r="1066" spans="1:28" x14ac:dyDescent="0.25">
      <c r="A1066" t="s">
        <v>1070</v>
      </c>
      <c r="B1066">
        <v>1</v>
      </c>
      <c r="C1066">
        <v>1.04469210341149</v>
      </c>
      <c r="D1066">
        <v>1.6831831491022999</v>
      </c>
      <c r="E1066">
        <v>2.1882334248814002</v>
      </c>
      <c r="F1066">
        <v>1.4086297296683801</v>
      </c>
      <c r="G1066">
        <v>1.50720657330277</v>
      </c>
      <c r="H1066">
        <v>1.29069160405838</v>
      </c>
      <c r="I1066">
        <v>1.52259572826112</v>
      </c>
      <c r="J1066">
        <v>1.7136209909889499</v>
      </c>
      <c r="K1066">
        <v>1.55562112717616</v>
      </c>
      <c r="L1066">
        <v>10824.577566775901</v>
      </c>
      <c r="M1066">
        <v>250</v>
      </c>
      <c r="O1066">
        <v>43.295537873731803</v>
      </c>
      <c r="P1066">
        <v>0.72178336207305205</v>
      </c>
      <c r="Q1066">
        <v>1.5</v>
      </c>
      <c r="R1066">
        <v>0.42860962036222799</v>
      </c>
      <c r="S1066" t="s">
        <v>2940</v>
      </c>
      <c r="T1066" t="s">
        <v>3746</v>
      </c>
      <c r="U1066" t="s">
        <v>3746</v>
      </c>
      <c r="V1066" t="s">
        <v>3746</v>
      </c>
      <c r="W1066" t="s">
        <v>4802</v>
      </c>
      <c r="X1066">
        <v>3</v>
      </c>
      <c r="Y1066" t="s">
        <v>6599</v>
      </c>
      <c r="Z1066" t="s">
        <v>8454</v>
      </c>
      <c r="AA1066">
        <v>1.4449901682818911</v>
      </c>
      <c r="AB1066" t="str">
        <f>HYPERLINK("Melting_Curves/meltCurve_P22792_CPN2.pdf", "Melting_Curves/meltCurve_P22792_CPN2.pdf")</f>
        <v>Melting_Curves/meltCurve_P22792_CPN2.pdf</v>
      </c>
    </row>
    <row r="1067" spans="1:28" x14ac:dyDescent="0.25">
      <c r="A1067" t="s">
        <v>1071</v>
      </c>
      <c r="B1067">
        <v>1</v>
      </c>
      <c r="C1067">
        <v>1.0285732590172301</v>
      </c>
      <c r="D1067">
        <v>1.74242424242424</v>
      </c>
      <c r="E1067">
        <v>2.5711128195272002</v>
      </c>
      <c r="F1067">
        <v>2.0525017618040899</v>
      </c>
      <c r="G1067">
        <v>2.6156384137356699</v>
      </c>
      <c r="H1067">
        <v>1.6687487987699401</v>
      </c>
      <c r="I1067">
        <v>2.20129412518419</v>
      </c>
      <c r="J1067">
        <v>2.7999871868793602</v>
      </c>
      <c r="K1067">
        <v>2.5142545967070302</v>
      </c>
      <c r="L1067">
        <v>10845.256860416701</v>
      </c>
      <c r="M1067">
        <v>250</v>
      </c>
      <c r="O1067">
        <v>43.378251770721498</v>
      </c>
      <c r="P1067">
        <v>0.72040709499826105</v>
      </c>
      <c r="Q1067">
        <v>1.5</v>
      </c>
      <c r="R1067">
        <v>-0.59065114780634898</v>
      </c>
      <c r="S1067" t="s">
        <v>2941</v>
      </c>
      <c r="T1067" t="s">
        <v>3746</v>
      </c>
      <c r="U1067" t="s">
        <v>3746</v>
      </c>
      <c r="V1067" t="s">
        <v>3746</v>
      </c>
      <c r="W1067" t="s">
        <v>4803</v>
      </c>
      <c r="X1067">
        <v>71</v>
      </c>
      <c r="Y1067" t="s">
        <v>6600</v>
      </c>
      <c r="Z1067" t="s">
        <v>8455</v>
      </c>
      <c r="AA1067">
        <v>1.4436114761232719</v>
      </c>
      <c r="AB1067" t="str">
        <f>HYPERLINK("Melting_Curves/meltCurve_P22897_MRC1.pdf", "Melting_Curves/meltCurve_P22897_MRC1.pdf")</f>
        <v>Melting_Curves/meltCurve_P22897_MRC1.pdf</v>
      </c>
    </row>
    <row r="1068" spans="1:28" x14ac:dyDescent="0.25">
      <c r="A1068" t="s">
        <v>1072</v>
      </c>
      <c r="B1068">
        <v>1</v>
      </c>
      <c r="C1068">
        <v>0.94169244459511003</v>
      </c>
      <c r="D1068">
        <v>1.1882283147591</v>
      </c>
      <c r="E1068">
        <v>1.2450951311496301</v>
      </c>
      <c r="F1068">
        <v>0.95741344972244602</v>
      </c>
      <c r="G1068">
        <v>1.1414890461460201</v>
      </c>
      <c r="H1068">
        <v>0.53985338361794999</v>
      </c>
      <c r="I1068">
        <v>0.84431543709479195</v>
      </c>
      <c r="J1068">
        <v>0.873257341412772</v>
      </c>
      <c r="K1068">
        <v>0.841349209712276</v>
      </c>
      <c r="L1068">
        <v>3808.43667917523</v>
      </c>
      <c r="M1068">
        <v>64.879646279692594</v>
      </c>
      <c r="O1068">
        <v>58.644329187950397</v>
      </c>
      <c r="P1068">
        <v>-6.0954889541276501E-2</v>
      </c>
      <c r="Q1068">
        <v>0.77961300393533295</v>
      </c>
      <c r="R1068">
        <v>0.44110748955993501</v>
      </c>
      <c r="S1068" t="s">
        <v>2942</v>
      </c>
      <c r="T1068" t="s">
        <v>3746</v>
      </c>
      <c r="U1068" t="s">
        <v>3746</v>
      </c>
      <c r="V1068" t="s">
        <v>3746</v>
      </c>
      <c r="W1068" t="s">
        <v>4804</v>
      </c>
      <c r="X1068">
        <v>3</v>
      </c>
      <c r="Z1068" t="s">
        <v>8456</v>
      </c>
      <c r="AA1068">
        <v>0.91732559195339414</v>
      </c>
      <c r="AB1068" t="str">
        <f>HYPERLINK("Melting_Curves/meltCurve_P23083_.pdf", "Melting_Curves/meltCurve_P23083_.pdf")</f>
        <v>Melting_Curves/meltCurve_P23083_.pdf</v>
      </c>
    </row>
    <row r="1069" spans="1:28" x14ac:dyDescent="0.25">
      <c r="A1069" t="s">
        <v>1073</v>
      </c>
      <c r="B1069">
        <v>1</v>
      </c>
      <c r="C1069">
        <v>1.0111053044159899</v>
      </c>
      <c r="D1069">
        <v>1.30337078651685</v>
      </c>
      <c r="E1069">
        <v>1.6824536190227299</v>
      </c>
      <c r="F1069">
        <v>1.48406062189705</v>
      </c>
      <c r="G1069">
        <v>1.68539325842697</v>
      </c>
      <c r="H1069">
        <v>1.39155996864385</v>
      </c>
      <c r="I1069">
        <v>1.94858897308597</v>
      </c>
      <c r="J1069">
        <v>2.1214397700548702</v>
      </c>
      <c r="K1069">
        <v>1.8359027959237</v>
      </c>
      <c r="L1069">
        <v>11297.9979326919</v>
      </c>
      <c r="M1069">
        <v>246.042286372375</v>
      </c>
      <c r="O1069">
        <v>45.915894330382898</v>
      </c>
      <c r="P1069">
        <v>0.66981786237490903</v>
      </c>
      <c r="Q1069">
        <v>1.5</v>
      </c>
      <c r="R1069">
        <v>0.39347255115289398</v>
      </c>
      <c r="S1069" t="s">
        <v>2943</v>
      </c>
      <c r="T1069" t="s">
        <v>3746</v>
      </c>
      <c r="U1069" t="s">
        <v>3746</v>
      </c>
      <c r="V1069" t="s">
        <v>3746</v>
      </c>
      <c r="W1069" t="s">
        <v>4805</v>
      </c>
      <c r="X1069">
        <v>7</v>
      </c>
      <c r="Y1069" t="s">
        <v>6601</v>
      </c>
      <c r="Z1069" t="s">
        <v>8457</v>
      </c>
      <c r="AA1069">
        <v>1.4013096062790269</v>
      </c>
      <c r="AB1069" t="str">
        <f>HYPERLINK("Melting_Curves/meltCurve_P23280_CA6.pdf", "Melting_Curves/meltCurve_P23280_CA6.pdf")</f>
        <v>Melting_Curves/meltCurve_P23280_CA6.pdf</v>
      </c>
    </row>
    <row r="1070" spans="1:28" x14ac:dyDescent="0.25">
      <c r="A1070" t="s">
        <v>1074</v>
      </c>
      <c r="B1070">
        <v>1</v>
      </c>
      <c r="C1070">
        <v>1.0181461747260501</v>
      </c>
      <c r="D1070">
        <v>1.39700412184578</v>
      </c>
      <c r="E1070">
        <v>1.8360309641097801</v>
      </c>
      <c r="F1070">
        <v>1.3135618779531499</v>
      </c>
      <c r="G1070">
        <v>1.8088368352266999</v>
      </c>
      <c r="H1070">
        <v>1.2088066753795099</v>
      </c>
      <c r="I1070">
        <v>2.0013571931235501</v>
      </c>
      <c r="J1070">
        <v>2.0452900371971401</v>
      </c>
      <c r="K1070">
        <v>1.9176133507590201</v>
      </c>
      <c r="L1070">
        <v>3763.9822029194302</v>
      </c>
      <c r="M1070">
        <v>83.194401615424894</v>
      </c>
      <c r="O1070">
        <v>45.217110467879898</v>
      </c>
      <c r="P1070">
        <v>0.229986066450897</v>
      </c>
      <c r="Q1070">
        <v>1.5</v>
      </c>
      <c r="R1070">
        <v>0.30558876928725198</v>
      </c>
      <c r="S1070" t="s">
        <v>2944</v>
      </c>
      <c r="T1070" t="s">
        <v>3746</v>
      </c>
      <c r="U1070" t="s">
        <v>3746</v>
      </c>
      <c r="V1070" t="s">
        <v>3746</v>
      </c>
      <c r="W1070" t="s">
        <v>4806</v>
      </c>
      <c r="X1070">
        <v>7</v>
      </c>
      <c r="Y1070" t="s">
        <v>6601</v>
      </c>
      <c r="Z1070" t="s">
        <v>8458</v>
      </c>
      <c r="AA1070">
        <v>1.4122538161427041</v>
      </c>
      <c r="AB1070" t="str">
        <f>HYPERLINK("Melting_Curves/meltCurve_P23280_2_CA6.pdf", "Melting_Curves/meltCurve_P23280_2_CA6.pdf")</f>
        <v>Melting_Curves/meltCurve_P23280_2_CA6.pdf</v>
      </c>
    </row>
    <row r="1071" spans="1:28" x14ac:dyDescent="0.25">
      <c r="A1071" t="s">
        <v>1075</v>
      </c>
      <c r="B1071">
        <v>1</v>
      </c>
      <c r="C1071">
        <v>0.99016383728853696</v>
      </c>
      <c r="D1071">
        <v>1.56626077681984</v>
      </c>
      <c r="E1071">
        <v>2.0718158385921299</v>
      </c>
      <c r="F1071">
        <v>1.49450419221995</v>
      </c>
      <c r="G1071">
        <v>1.9073563831363101</v>
      </c>
      <c r="H1071">
        <v>1.5245163392883601</v>
      </c>
      <c r="I1071">
        <v>2.5835036885610201</v>
      </c>
      <c r="J1071">
        <v>2.6885610167985101</v>
      </c>
      <c r="K1071">
        <v>2.3694486416022298</v>
      </c>
      <c r="L1071">
        <v>11058.5579603349</v>
      </c>
      <c r="M1071">
        <v>250</v>
      </c>
      <c r="O1071">
        <v>44.231401425335399</v>
      </c>
      <c r="P1071">
        <v>0.70651164621584195</v>
      </c>
      <c r="Q1071">
        <v>1.5</v>
      </c>
      <c r="R1071">
        <v>-0.153711867445083</v>
      </c>
      <c r="S1071" t="s">
        <v>2945</v>
      </c>
      <c r="T1071" t="s">
        <v>3746</v>
      </c>
      <c r="U1071" t="s">
        <v>3746</v>
      </c>
      <c r="V1071" t="s">
        <v>3746</v>
      </c>
      <c r="W1071" t="s">
        <v>4807</v>
      </c>
      <c r="X1071">
        <v>10</v>
      </c>
      <c r="Y1071" t="s">
        <v>6602</v>
      </c>
      <c r="Z1071" t="s">
        <v>8459</v>
      </c>
      <c r="AA1071">
        <v>1.4293906541167749</v>
      </c>
      <c r="AB1071" t="str">
        <f>HYPERLINK("Melting_Curves/meltCurve_P23284_PPIB.pdf", "Melting_Curves/meltCurve_P23284_PPIB.pdf")</f>
        <v>Melting_Curves/meltCurve_P23284_PPIB.pdf</v>
      </c>
    </row>
    <row r="1072" spans="1:28" x14ac:dyDescent="0.25">
      <c r="A1072" t="s">
        <v>1076</v>
      </c>
      <c r="B1072">
        <v>1</v>
      </c>
      <c r="C1072">
        <v>1.0757292597708601</v>
      </c>
      <c r="D1072">
        <v>1.48988380596409</v>
      </c>
      <c r="E1072">
        <v>1.7523360689038801</v>
      </c>
      <c r="F1072">
        <v>1.5703664581132699</v>
      </c>
      <c r="G1072">
        <v>1.7448606484114699</v>
      </c>
      <c r="H1072">
        <v>0.89067197529861097</v>
      </c>
      <c r="I1072">
        <v>1.5079223206305401</v>
      </c>
      <c r="J1072">
        <v>1.49061509709921</v>
      </c>
      <c r="K1072">
        <v>1.28325343300561</v>
      </c>
      <c r="L1072">
        <v>10795.368314888899</v>
      </c>
      <c r="M1072">
        <v>250</v>
      </c>
      <c r="O1072">
        <v>43.178732515119698</v>
      </c>
      <c r="P1072">
        <v>0.67486780058729701</v>
      </c>
      <c r="Q1072">
        <v>1.4662387375057899</v>
      </c>
      <c r="R1072">
        <v>0.35529305894838198</v>
      </c>
      <c r="S1072" t="s">
        <v>2946</v>
      </c>
      <c r="T1072" t="s">
        <v>3746</v>
      </c>
      <c r="U1072" t="s">
        <v>3746</v>
      </c>
      <c r="V1072" t="s">
        <v>3746</v>
      </c>
      <c r="W1072" t="s">
        <v>4808</v>
      </c>
      <c r="X1072">
        <v>4</v>
      </c>
      <c r="Y1072" t="s">
        <v>6603</v>
      </c>
      <c r="Z1072" t="s">
        <v>8460</v>
      </c>
      <c r="AA1072">
        <v>1.4167592020857449</v>
      </c>
      <c r="AB1072" t="str">
        <f>HYPERLINK("Melting_Curves/meltCurve_P23297_S100A1.pdf", "Melting_Curves/meltCurve_P23297_S100A1.pdf")</f>
        <v>Melting_Curves/meltCurve_P23297_S100A1.pdf</v>
      </c>
    </row>
    <row r="1073" spans="1:28" x14ac:dyDescent="0.25">
      <c r="A1073" t="s">
        <v>1077</v>
      </c>
      <c r="B1073">
        <v>1</v>
      </c>
      <c r="C1073">
        <v>1.11551731667904</v>
      </c>
      <c r="D1073">
        <v>1.6101454338996399</v>
      </c>
      <c r="E1073">
        <v>1.9485303751583201</v>
      </c>
      <c r="F1073">
        <v>1.38898108922566</v>
      </c>
      <c r="G1073">
        <v>1.4133292571079199</v>
      </c>
      <c r="H1073">
        <v>1.00700965191947</v>
      </c>
      <c r="I1073">
        <v>1.3854871817268599</v>
      </c>
      <c r="J1073">
        <v>1.49202952351836</v>
      </c>
      <c r="K1073">
        <v>1.3616412630475601</v>
      </c>
      <c r="L1073">
        <v>10770.724251457999</v>
      </c>
      <c r="M1073">
        <v>250</v>
      </c>
      <c r="O1073">
        <v>43.080140139897097</v>
      </c>
      <c r="P1073">
        <v>0.65415035829611401</v>
      </c>
      <c r="Q1073">
        <v>1.4508942235901401</v>
      </c>
      <c r="R1073">
        <v>0.341723058434246</v>
      </c>
      <c r="S1073" t="s">
        <v>2947</v>
      </c>
      <c r="T1073" t="s">
        <v>3746</v>
      </c>
      <c r="U1073" t="s">
        <v>3746</v>
      </c>
      <c r="V1073" t="s">
        <v>3746</v>
      </c>
      <c r="W1073" t="s">
        <v>4809</v>
      </c>
      <c r="X1073">
        <v>18</v>
      </c>
      <c r="Y1073" t="s">
        <v>6604</v>
      </c>
      <c r="Z1073" t="s">
        <v>8461</v>
      </c>
      <c r="AA1073">
        <v>1.4045247831572869</v>
      </c>
      <c r="AB1073" t="str">
        <f>HYPERLINK("Melting_Curves/meltCurve_P23381_WARS.pdf", "Melting_Curves/meltCurve_P23381_WARS.pdf")</f>
        <v>Melting_Curves/meltCurve_P23381_WARS.pdf</v>
      </c>
    </row>
    <row r="1074" spans="1:28" x14ac:dyDescent="0.25">
      <c r="A1074" t="s">
        <v>1078</v>
      </c>
      <c r="B1074">
        <v>1</v>
      </c>
      <c r="C1074">
        <v>1.04303576621111</v>
      </c>
      <c r="D1074">
        <v>1.5049723756906099</v>
      </c>
      <c r="E1074">
        <v>1.9007851119511501</v>
      </c>
      <c r="F1074">
        <v>1.3688281477173601</v>
      </c>
      <c r="G1074">
        <v>1.61099156731608</v>
      </c>
      <c r="H1074">
        <v>1.0148298924105801</v>
      </c>
      <c r="I1074">
        <v>1.5434719395173</v>
      </c>
      <c r="J1074">
        <v>1.5997092177958701</v>
      </c>
      <c r="K1074">
        <v>1.38831055539401</v>
      </c>
      <c r="L1074">
        <v>10825.547626601499</v>
      </c>
      <c r="M1074">
        <v>250</v>
      </c>
      <c r="O1074">
        <v>43.299413420156498</v>
      </c>
      <c r="P1074">
        <v>0.70943124424671899</v>
      </c>
      <c r="Q1074">
        <v>1.4914873758615701</v>
      </c>
      <c r="R1074">
        <v>0.44090761794961397</v>
      </c>
      <c r="S1074" t="s">
        <v>2948</v>
      </c>
      <c r="T1074" t="s">
        <v>3746</v>
      </c>
      <c r="U1074" t="s">
        <v>3746</v>
      </c>
      <c r="V1074" t="s">
        <v>3746</v>
      </c>
      <c r="W1074" t="s">
        <v>4810</v>
      </c>
      <c r="X1074">
        <v>5</v>
      </c>
      <c r="Y1074" t="s">
        <v>6605</v>
      </c>
      <c r="Z1074" t="s">
        <v>8462</v>
      </c>
      <c r="AA1074">
        <v>1.437350527217981</v>
      </c>
      <c r="AB1074" t="str">
        <f>HYPERLINK("Melting_Curves/meltCurve_P23396_RPS3.pdf", "Melting_Curves/meltCurve_P23396_RPS3.pdf")</f>
        <v>Melting_Curves/meltCurve_P23396_RPS3.pdf</v>
      </c>
    </row>
    <row r="1075" spans="1:28" x14ac:dyDescent="0.25">
      <c r="A1075" t="s">
        <v>1079</v>
      </c>
      <c r="B1075">
        <v>1</v>
      </c>
      <c r="C1075">
        <v>1.0084511370620799</v>
      </c>
      <c r="D1075">
        <v>1.5514443761524299</v>
      </c>
      <c r="E1075">
        <v>1.84812538414259</v>
      </c>
      <c r="F1075">
        <v>1.550061462815</v>
      </c>
      <c r="G1075">
        <v>1.7236631837738201</v>
      </c>
      <c r="H1075">
        <v>1.4142901044867899</v>
      </c>
      <c r="I1075">
        <v>2.6334665027658302</v>
      </c>
      <c r="J1075">
        <v>3.0391518131530399</v>
      </c>
      <c r="K1075">
        <v>2.8013829133374299</v>
      </c>
      <c r="L1075">
        <v>10899.282172752601</v>
      </c>
      <c r="M1075">
        <v>250</v>
      </c>
      <c r="O1075">
        <v>43.594352759888899</v>
      </c>
      <c r="P1075">
        <v>0.71683619645123797</v>
      </c>
      <c r="Q1075">
        <v>1.5</v>
      </c>
      <c r="R1075">
        <v>-0.16488441214788799</v>
      </c>
      <c r="S1075" t="s">
        <v>2949</v>
      </c>
      <c r="T1075" t="s">
        <v>3746</v>
      </c>
      <c r="U1075" t="s">
        <v>3746</v>
      </c>
      <c r="V1075" t="s">
        <v>3746</v>
      </c>
      <c r="W1075" t="s">
        <v>3945</v>
      </c>
      <c r="X1075">
        <v>8</v>
      </c>
      <c r="Y1075" t="s">
        <v>6606</v>
      </c>
      <c r="Z1075" t="s">
        <v>8463</v>
      </c>
      <c r="AA1075">
        <v>1.440009599008242</v>
      </c>
      <c r="AB1075" t="str">
        <f>HYPERLINK("Melting_Curves/meltCurve_P23526_AHCY.pdf", "Melting_Curves/meltCurve_P23526_AHCY.pdf")</f>
        <v>Melting_Curves/meltCurve_P23526_AHCY.pdf</v>
      </c>
    </row>
    <row r="1076" spans="1:28" x14ac:dyDescent="0.25">
      <c r="A1076" t="s">
        <v>1080</v>
      </c>
      <c r="B1076">
        <v>1</v>
      </c>
      <c r="C1076">
        <v>1.00985645933014</v>
      </c>
      <c r="D1076">
        <v>1.31923444976077</v>
      </c>
      <c r="E1076">
        <v>1.62966507177033</v>
      </c>
      <c r="F1076">
        <v>0.86549282296650698</v>
      </c>
      <c r="G1076">
        <v>1.22114832535885</v>
      </c>
      <c r="H1076">
        <v>0.76224880382775095</v>
      </c>
      <c r="I1076">
        <v>1.2399043062201001</v>
      </c>
      <c r="J1076">
        <v>1.2752153110047799</v>
      </c>
      <c r="K1076">
        <v>1.0970334928229699</v>
      </c>
      <c r="L1076">
        <v>10846.235531219399</v>
      </c>
      <c r="M1076">
        <v>250</v>
      </c>
      <c r="O1076">
        <v>43.382166070262301</v>
      </c>
      <c r="P1076">
        <v>0.253910234427068</v>
      </c>
      <c r="Q1076">
        <v>1.1762428139091601</v>
      </c>
      <c r="R1076">
        <v>8.3471982526690996E-2</v>
      </c>
      <c r="S1076" t="s">
        <v>2950</v>
      </c>
      <c r="T1076" t="s">
        <v>3746</v>
      </c>
      <c r="U1076" t="s">
        <v>3746</v>
      </c>
      <c r="V1076" t="s">
        <v>3746</v>
      </c>
      <c r="W1076" t="s">
        <v>4811</v>
      </c>
      <c r="X1076">
        <v>1</v>
      </c>
      <c r="Y1076" t="s">
        <v>6607</v>
      </c>
      <c r="Z1076" t="s">
        <v>8464</v>
      </c>
      <c r="AA1076">
        <v>1.156343670631758</v>
      </c>
      <c r="AB1076" t="str">
        <f>HYPERLINK("Melting_Curves/meltCurve_P23786_CPT2.pdf", "Melting_Curves/meltCurve_P23786_CPT2.pdf")</f>
        <v>Melting_Curves/meltCurve_P23786_CPT2.pdf</v>
      </c>
    </row>
    <row r="1077" spans="1:28" x14ac:dyDescent="0.25">
      <c r="A1077" t="s">
        <v>1081</v>
      </c>
      <c r="B1077">
        <v>1</v>
      </c>
      <c r="C1077">
        <v>1.4218078381795201</v>
      </c>
      <c r="D1077">
        <v>1.77705436156764</v>
      </c>
      <c r="E1077">
        <v>2.26302149178255</v>
      </c>
      <c r="F1077">
        <v>1.5316687737041701</v>
      </c>
      <c r="G1077">
        <v>1.3028445006321101</v>
      </c>
      <c r="H1077">
        <v>0.87648546144121398</v>
      </c>
      <c r="I1077">
        <v>1.4294563843236401</v>
      </c>
      <c r="J1077">
        <v>1.6426675094816701</v>
      </c>
      <c r="K1077">
        <v>1.62654867256637</v>
      </c>
      <c r="L1077">
        <v>10652.697166563599</v>
      </c>
      <c r="M1077">
        <v>250</v>
      </c>
      <c r="O1077">
        <v>42.608061890138003</v>
      </c>
      <c r="P1077">
        <v>0.73342927778491396</v>
      </c>
      <c r="Q1077">
        <v>1.5</v>
      </c>
      <c r="R1077">
        <v>0.18393933922383399</v>
      </c>
      <c r="S1077" t="s">
        <v>2951</v>
      </c>
      <c r="T1077" t="s">
        <v>3746</v>
      </c>
      <c r="U1077" t="s">
        <v>3746</v>
      </c>
      <c r="V1077" t="s">
        <v>3746</v>
      </c>
      <c r="W1077" t="s">
        <v>4812</v>
      </c>
      <c r="X1077">
        <v>2</v>
      </c>
      <c r="Y1077" t="s">
        <v>6608</v>
      </c>
      <c r="Z1077" t="s">
        <v>8465</v>
      </c>
      <c r="AA1077">
        <v>1.456449464723393</v>
      </c>
      <c r="AB1077" t="str">
        <f>HYPERLINK("Melting_Curves/meltCurve_P24043_LAMA2.pdf", "Melting_Curves/meltCurve_P24043_LAMA2.pdf")</f>
        <v>Melting_Curves/meltCurve_P24043_LAMA2.pdf</v>
      </c>
    </row>
    <row r="1078" spans="1:28" x14ac:dyDescent="0.25">
      <c r="A1078" t="s">
        <v>1082</v>
      </c>
      <c r="B1078">
        <v>1</v>
      </c>
      <c r="C1078">
        <v>0.946897253306205</v>
      </c>
      <c r="D1078">
        <v>1.21068158697864</v>
      </c>
      <c r="E1078">
        <v>1.2626653102746701</v>
      </c>
      <c r="F1078">
        <v>0.94252288911495397</v>
      </c>
      <c r="G1078">
        <v>1.0998982706002001</v>
      </c>
      <c r="H1078">
        <v>0.70264496439471003</v>
      </c>
      <c r="I1078">
        <v>1.0745676500508601</v>
      </c>
      <c r="J1078">
        <v>0.71353001017294004</v>
      </c>
      <c r="K1078">
        <v>0.78728382502543204</v>
      </c>
      <c r="L1078">
        <v>1172.49886392337</v>
      </c>
      <c r="M1078">
        <v>18.1723783287005</v>
      </c>
      <c r="O1078">
        <v>63.754836743252099</v>
      </c>
      <c r="P1078">
        <v>-2.0445791572551299E-2</v>
      </c>
      <c r="Q1078">
        <v>0.71309066623669204</v>
      </c>
      <c r="R1078">
        <v>0.309806842428623</v>
      </c>
      <c r="S1078" t="s">
        <v>2952</v>
      </c>
      <c r="T1078" t="s">
        <v>3746</v>
      </c>
      <c r="U1078" t="s">
        <v>3746</v>
      </c>
      <c r="V1078" t="s">
        <v>3746</v>
      </c>
      <c r="W1078" t="s">
        <v>4813</v>
      </c>
      <c r="X1078">
        <v>1</v>
      </c>
      <c r="Y1078" t="s">
        <v>6609</v>
      </c>
      <c r="Z1078" t="s">
        <v>8466</v>
      </c>
      <c r="AA1078">
        <v>0.94403980690629841</v>
      </c>
      <c r="AB1078" t="str">
        <f>HYPERLINK("Melting_Curves/meltCurve_P24158_PRTN3.pdf", "Melting_Curves/meltCurve_P24158_PRTN3.pdf")</f>
        <v>Melting_Curves/meltCurve_P24158_PRTN3.pdf</v>
      </c>
    </row>
    <row r="1079" spans="1:28" x14ac:dyDescent="0.25">
      <c r="A1079" t="s">
        <v>1083</v>
      </c>
      <c r="B1079">
        <v>1</v>
      </c>
      <c r="C1079">
        <v>0.98093479430611896</v>
      </c>
      <c r="D1079">
        <v>1.4145428753118401</v>
      </c>
      <c r="E1079">
        <v>2.4892383701022398</v>
      </c>
      <c r="F1079">
        <v>2.3709827324756598</v>
      </c>
      <c r="G1079">
        <v>3.24084038546202</v>
      </c>
      <c r="H1079">
        <v>2.2604314435259001</v>
      </c>
      <c r="I1079">
        <v>3.6977204911216601</v>
      </c>
      <c r="J1079">
        <v>3.5760406985276099</v>
      </c>
      <c r="K1079">
        <v>3.2589394902900799</v>
      </c>
      <c r="L1079">
        <v>11427.357996265901</v>
      </c>
      <c r="M1079">
        <v>250</v>
      </c>
      <c r="O1079">
        <v>45.706506932552898</v>
      </c>
      <c r="P1079">
        <v>0.68371009220916001</v>
      </c>
      <c r="Q1079">
        <v>1.5</v>
      </c>
      <c r="R1079">
        <v>-0.85508947215566</v>
      </c>
      <c r="S1079" t="s">
        <v>2953</v>
      </c>
      <c r="T1079" t="s">
        <v>3746</v>
      </c>
      <c r="U1079" t="s">
        <v>3746</v>
      </c>
      <c r="V1079" t="s">
        <v>3746</v>
      </c>
      <c r="W1079" t="s">
        <v>4814</v>
      </c>
      <c r="X1079">
        <v>12</v>
      </c>
      <c r="Y1079" t="s">
        <v>6610</v>
      </c>
      <c r="Z1079" t="s">
        <v>8467</v>
      </c>
      <c r="AA1079">
        <v>1.4048026905780699</v>
      </c>
      <c r="AB1079" t="str">
        <f>HYPERLINK("Melting_Curves/meltCurve_P24298_GPT.pdf", "Melting_Curves/meltCurve_P24298_GPT.pdf")</f>
        <v>Melting_Curves/meltCurve_P24298_GPT.pdf</v>
      </c>
    </row>
    <row r="1080" spans="1:28" x14ac:dyDescent="0.25">
      <c r="A1080" t="s">
        <v>1084</v>
      </c>
      <c r="B1080">
        <v>1</v>
      </c>
      <c r="C1080">
        <v>1.1492414837881599</v>
      </c>
      <c r="D1080">
        <v>1.5254486923222601</v>
      </c>
      <c r="E1080">
        <v>2.13983630357481</v>
      </c>
      <c r="F1080">
        <v>1.7514255055021399</v>
      </c>
      <c r="G1080">
        <v>2.2836492940854698</v>
      </c>
      <c r="H1080">
        <v>1.5241862520251599</v>
      </c>
      <c r="I1080">
        <v>2.22967997138469</v>
      </c>
      <c r="J1080">
        <v>2.1030151282428902</v>
      </c>
      <c r="K1080">
        <v>2.0354745723483498</v>
      </c>
      <c r="L1080">
        <v>10761.6594320473</v>
      </c>
      <c r="M1080">
        <v>250</v>
      </c>
      <c r="O1080">
        <v>43.043883103190403</v>
      </c>
      <c r="P1080">
        <v>0.72600327474286996</v>
      </c>
      <c r="Q1080">
        <v>1.5</v>
      </c>
      <c r="R1080">
        <v>-0.200218944633378</v>
      </c>
      <c r="S1080" t="s">
        <v>2954</v>
      </c>
      <c r="T1080" t="s">
        <v>3746</v>
      </c>
      <c r="U1080" t="s">
        <v>3746</v>
      </c>
      <c r="V1080" t="s">
        <v>3746</v>
      </c>
      <c r="W1080" t="s">
        <v>4815</v>
      </c>
      <c r="X1080">
        <v>3</v>
      </c>
      <c r="Y1080" t="s">
        <v>6611</v>
      </c>
      <c r="Z1080" t="s">
        <v>8468</v>
      </c>
      <c r="AA1080">
        <v>1.4491849314273291</v>
      </c>
      <c r="AB1080" t="str">
        <f>HYPERLINK("Melting_Curves/meltCurve_P24534_EEF1B2.pdf", "Melting_Curves/meltCurve_P24534_EEF1B2.pdf")</f>
        <v>Melting_Curves/meltCurve_P24534_EEF1B2.pdf</v>
      </c>
    </row>
    <row r="1081" spans="1:28" x14ac:dyDescent="0.25">
      <c r="A1081" t="s">
        <v>1085</v>
      </c>
      <c r="B1081">
        <v>1</v>
      </c>
      <c r="C1081">
        <v>1.1448807743763301</v>
      </c>
      <c r="D1081">
        <v>1.3466593216337499</v>
      </c>
      <c r="E1081">
        <v>1.70433619264972</v>
      </c>
      <c r="F1081">
        <v>1.08774691115133</v>
      </c>
      <c r="G1081">
        <v>1.2547414810734201</v>
      </c>
      <c r="H1081">
        <v>1.21814747776816</v>
      </c>
      <c r="I1081">
        <v>1.85016132840167</v>
      </c>
      <c r="J1081">
        <v>2.2237349492405798</v>
      </c>
      <c r="K1081">
        <v>2.1351223734949198</v>
      </c>
      <c r="L1081">
        <v>1367.1308583733801</v>
      </c>
      <c r="M1081">
        <v>30.832898406739599</v>
      </c>
      <c r="O1081">
        <v>44.154742828713303</v>
      </c>
      <c r="P1081">
        <v>8.7287002956427107E-2</v>
      </c>
      <c r="Q1081">
        <v>1.5</v>
      </c>
      <c r="R1081">
        <v>0.21925674411474</v>
      </c>
      <c r="S1081" t="s">
        <v>2955</v>
      </c>
      <c r="T1081" t="s">
        <v>3746</v>
      </c>
      <c r="U1081" t="s">
        <v>3746</v>
      </c>
      <c r="V1081" t="s">
        <v>3746</v>
      </c>
      <c r="W1081" t="s">
        <v>4816</v>
      </c>
      <c r="X1081">
        <v>2</v>
      </c>
      <c r="Y1081" t="s">
        <v>6612</v>
      </c>
      <c r="Z1081" t="s">
        <v>8469</v>
      </c>
      <c r="AA1081">
        <v>1.424432623249434</v>
      </c>
      <c r="AB1081" t="str">
        <f>HYPERLINK("Melting_Curves/meltCurve_P24593_IGFBP5.pdf", "Melting_Curves/meltCurve_P24593_IGFBP5.pdf")</f>
        <v>Melting_Curves/meltCurve_P24593_IGFBP5.pdf</v>
      </c>
    </row>
    <row r="1082" spans="1:28" x14ac:dyDescent="0.25">
      <c r="A1082" t="s">
        <v>1086</v>
      </c>
      <c r="B1082">
        <v>1</v>
      </c>
      <c r="C1082">
        <v>1.10204694459737</v>
      </c>
      <c r="D1082">
        <v>1.9783794604874601</v>
      </c>
      <c r="E1082">
        <v>2.2089985486211901</v>
      </c>
      <c r="F1082">
        <v>1.21705620339322</v>
      </c>
      <c r="G1082">
        <v>1.1196636804964699</v>
      </c>
      <c r="H1082">
        <v>1.05179920924879</v>
      </c>
      <c r="I1082">
        <v>1.5717932035433699</v>
      </c>
      <c r="J1082">
        <v>1.6695861068014599</v>
      </c>
      <c r="K1082">
        <v>1.4744006806466099</v>
      </c>
      <c r="L1082">
        <v>10783.382408322001</v>
      </c>
      <c r="M1082">
        <v>250</v>
      </c>
      <c r="O1082">
        <v>43.130769364980999</v>
      </c>
      <c r="P1082">
        <v>0.72454075108237803</v>
      </c>
      <c r="Q1082">
        <v>1.5</v>
      </c>
      <c r="R1082">
        <v>0.23770817074808001</v>
      </c>
      <c r="S1082" t="s">
        <v>2956</v>
      </c>
      <c r="T1082" t="s">
        <v>3746</v>
      </c>
      <c r="U1082" t="s">
        <v>3746</v>
      </c>
      <c r="V1082" t="s">
        <v>3746</v>
      </c>
      <c r="W1082" t="s">
        <v>4817</v>
      </c>
      <c r="X1082">
        <v>66</v>
      </c>
      <c r="Y1082" t="s">
        <v>6613</v>
      </c>
      <c r="Z1082" t="s">
        <v>8470</v>
      </c>
      <c r="AA1082">
        <v>1.4477366567676011</v>
      </c>
      <c r="AB1082" t="str">
        <f>HYPERLINK("Melting_Curves/meltCurve_P24821_TNC.pdf", "Melting_Curves/meltCurve_P24821_TNC.pdf")</f>
        <v>Melting_Curves/meltCurve_P24821_TNC.pdf</v>
      </c>
    </row>
    <row r="1083" spans="1:28" x14ac:dyDescent="0.25">
      <c r="A1083" t="s">
        <v>1087</v>
      </c>
      <c r="B1083">
        <v>1</v>
      </c>
      <c r="C1083">
        <v>0.88237197114295896</v>
      </c>
      <c r="D1083">
        <v>0.93076898191582302</v>
      </c>
      <c r="E1083">
        <v>0.96224644948400295</v>
      </c>
      <c r="F1083">
        <v>0.78014299116819297</v>
      </c>
      <c r="G1083">
        <v>0.946750347772638</v>
      </c>
      <c r="H1083">
        <v>0.37006243732004801</v>
      </c>
      <c r="I1083">
        <v>0.608650642166219</v>
      </c>
      <c r="J1083">
        <v>0.61298566853223801</v>
      </c>
      <c r="K1083">
        <v>0.64012810973439904</v>
      </c>
      <c r="L1083">
        <v>1036.4909987302599</v>
      </c>
      <c r="M1083">
        <v>18.644924815391899</v>
      </c>
      <c r="O1083">
        <v>54.963403005245603</v>
      </c>
      <c r="P1083">
        <v>-3.7260147321225401E-2</v>
      </c>
      <c r="Q1083">
        <v>0.56066188112517901</v>
      </c>
      <c r="R1083">
        <v>0.61955324357105401</v>
      </c>
      <c r="S1083" t="s">
        <v>2957</v>
      </c>
      <c r="T1083" t="s">
        <v>3746</v>
      </c>
      <c r="U1083" t="s">
        <v>3746</v>
      </c>
      <c r="V1083" t="s">
        <v>3746</v>
      </c>
      <c r="W1083" t="s">
        <v>3901</v>
      </c>
      <c r="X1083">
        <v>20</v>
      </c>
      <c r="Y1083" t="s">
        <v>5758</v>
      </c>
      <c r="Z1083" t="s">
        <v>8471</v>
      </c>
      <c r="AA1083">
        <v>0.79531160125334321</v>
      </c>
      <c r="AB1083" t="str">
        <f>HYPERLINK("Melting_Curves/meltCurve_P25311_AZGP1.pdf", "Melting_Curves/meltCurve_P25311_AZGP1.pdf")</f>
        <v>Melting_Curves/meltCurve_P25311_AZGP1.pdf</v>
      </c>
    </row>
    <row r="1084" spans="1:28" x14ac:dyDescent="0.25">
      <c r="A1084" t="s">
        <v>1088</v>
      </c>
      <c r="B1084">
        <v>1</v>
      </c>
      <c r="C1084">
        <v>1.1312125403411699</v>
      </c>
      <c r="D1084">
        <v>1.3594283079760301</v>
      </c>
      <c r="E1084">
        <v>1.81936376210235</v>
      </c>
      <c r="F1084">
        <v>1.46814200092208</v>
      </c>
      <c r="G1084">
        <v>0.974642692485016</v>
      </c>
      <c r="H1084">
        <v>1.0556938681420001</v>
      </c>
      <c r="I1084">
        <v>1.6665744582757001</v>
      </c>
      <c r="J1084">
        <v>1.82342093130475</v>
      </c>
      <c r="K1084">
        <v>1.81401567542646</v>
      </c>
      <c r="L1084">
        <v>1744.9618589383999</v>
      </c>
      <c r="M1084">
        <v>39.396426114697</v>
      </c>
      <c r="O1084">
        <v>44.1787319248157</v>
      </c>
      <c r="P1084">
        <v>0.11146912445162201</v>
      </c>
      <c r="Q1084">
        <v>1.5</v>
      </c>
      <c r="R1084">
        <v>0.28286299747593402</v>
      </c>
      <c r="S1084" t="s">
        <v>2958</v>
      </c>
      <c r="T1084" t="s">
        <v>3746</v>
      </c>
      <c r="U1084" t="s">
        <v>3746</v>
      </c>
      <c r="V1084" t="s">
        <v>3746</v>
      </c>
      <c r="W1084" t="s">
        <v>4818</v>
      </c>
      <c r="X1084">
        <v>1</v>
      </c>
      <c r="Y1084" t="s">
        <v>6614</v>
      </c>
      <c r="Z1084" t="s">
        <v>8472</v>
      </c>
      <c r="AA1084">
        <v>1.4266694636797179</v>
      </c>
      <c r="AB1084" t="str">
        <f>HYPERLINK("Melting_Curves/meltCurve_P25325_MPST.pdf", "Melting_Curves/meltCurve_P25325_MPST.pdf")</f>
        <v>Melting_Curves/meltCurve_P25325_MPST.pdf</v>
      </c>
    </row>
    <row r="1085" spans="1:28" x14ac:dyDescent="0.25">
      <c r="A1085" t="s">
        <v>1089</v>
      </c>
      <c r="B1085">
        <v>1</v>
      </c>
      <c r="C1085">
        <v>0.94824735795751802</v>
      </c>
      <c r="D1085">
        <v>1.30323323218583</v>
      </c>
      <c r="E1085">
        <v>1.5071047399811699</v>
      </c>
      <c r="F1085">
        <v>1.0534477346447599</v>
      </c>
      <c r="G1085">
        <v>1.2179554253426801</v>
      </c>
      <c r="H1085">
        <v>0.63046981270273095</v>
      </c>
      <c r="I1085">
        <v>1.22214083917547</v>
      </c>
      <c r="J1085">
        <v>1.03812912001674</v>
      </c>
      <c r="K1085">
        <v>0.91474312022601201</v>
      </c>
      <c r="L1085">
        <v>15000</v>
      </c>
      <c r="M1085">
        <v>211.912700026165</v>
      </c>
      <c r="Q1085">
        <v>0</v>
      </c>
      <c r="R1085">
        <v>-0.11866617192838901</v>
      </c>
      <c r="S1085" t="s">
        <v>2959</v>
      </c>
      <c r="T1085" t="s">
        <v>3746</v>
      </c>
      <c r="U1085" t="s">
        <v>3746</v>
      </c>
      <c r="V1085" t="s">
        <v>3746</v>
      </c>
      <c r="W1085" t="s">
        <v>4819</v>
      </c>
      <c r="X1085">
        <v>5</v>
      </c>
      <c r="Y1085" t="s">
        <v>6615</v>
      </c>
      <c r="Z1085" t="s">
        <v>8473</v>
      </c>
      <c r="AA1085">
        <v>0.99903883743418165</v>
      </c>
      <c r="AB1085" t="str">
        <f>HYPERLINK("Melting_Curves/meltCurve_P25398_RPS12.pdf", "Melting_Curves/meltCurve_P25398_RPS12.pdf")</f>
        <v>Melting_Curves/meltCurve_P25398_RPS12.pdf</v>
      </c>
    </row>
    <row r="1086" spans="1:28" x14ac:dyDescent="0.25">
      <c r="A1086" t="s">
        <v>1090</v>
      </c>
      <c r="B1086">
        <v>1</v>
      </c>
      <c r="C1086">
        <v>0.94104138351220901</v>
      </c>
      <c r="D1086">
        <v>1.08773492056053</v>
      </c>
      <c r="E1086">
        <v>1.58152505038197</v>
      </c>
      <c r="F1086">
        <v>1.0731124338004401</v>
      </c>
      <c r="G1086">
        <v>0.92126353283029505</v>
      </c>
      <c r="H1086">
        <v>0.77653840746121805</v>
      </c>
      <c r="I1086">
        <v>0.88461358204058704</v>
      </c>
      <c r="J1086">
        <v>1.0427426536064099</v>
      </c>
      <c r="K1086">
        <v>1.0840792988705099</v>
      </c>
      <c r="L1086">
        <v>11113.6902165184</v>
      </c>
      <c r="M1086">
        <v>250</v>
      </c>
      <c r="O1086">
        <v>44.451916034650502</v>
      </c>
      <c r="P1086">
        <v>7.9370998046307303E-2</v>
      </c>
      <c r="Q1086">
        <v>1.0564510870131001</v>
      </c>
      <c r="R1086">
        <v>2.4124614775646501E-2</v>
      </c>
      <c r="S1086" t="s">
        <v>2960</v>
      </c>
      <c r="T1086" t="s">
        <v>3746</v>
      </c>
      <c r="U1086" t="s">
        <v>3746</v>
      </c>
      <c r="V1086" t="s">
        <v>3746</v>
      </c>
      <c r="W1086" t="s">
        <v>4820</v>
      </c>
      <c r="X1086">
        <v>1</v>
      </c>
      <c r="Y1086" t="s">
        <v>6616</v>
      </c>
      <c r="Z1086" t="s">
        <v>8474</v>
      </c>
      <c r="AA1086">
        <v>1.0480641464028619</v>
      </c>
      <c r="AB1086" t="str">
        <f>HYPERLINK("Melting_Curves/meltCurve_P25445_6_FAS.pdf", "Melting_Curves/meltCurve_P25445_6_FAS.pdf")</f>
        <v>Melting_Curves/meltCurve_P25445_6_FAS.pdf</v>
      </c>
    </row>
    <row r="1087" spans="1:28" x14ac:dyDescent="0.25">
      <c r="A1087" t="s">
        <v>1091</v>
      </c>
      <c r="B1087">
        <v>1</v>
      </c>
      <c r="C1087">
        <v>0.96227503912363099</v>
      </c>
      <c r="D1087">
        <v>1.35406885758998</v>
      </c>
      <c r="E1087">
        <v>1.6741001564945199</v>
      </c>
      <c r="F1087">
        <v>1.15444053208138</v>
      </c>
      <c r="G1087">
        <v>1.09536384976526</v>
      </c>
      <c r="H1087">
        <v>0.72001173708920196</v>
      </c>
      <c r="I1087">
        <v>1.1591353677621301</v>
      </c>
      <c r="J1087">
        <v>1.31709702660407</v>
      </c>
      <c r="K1087">
        <v>1.10651408450704</v>
      </c>
      <c r="L1087">
        <v>11069.0372307254</v>
      </c>
      <c r="M1087">
        <v>250</v>
      </c>
      <c r="O1087">
        <v>44.273313453643198</v>
      </c>
      <c r="P1087">
        <v>0.278942309335028</v>
      </c>
      <c r="Q1087">
        <v>1.1975952138472601</v>
      </c>
      <c r="R1087">
        <v>0.12547828987517101</v>
      </c>
      <c r="S1087" t="s">
        <v>2961</v>
      </c>
      <c r="T1087" t="s">
        <v>3746</v>
      </c>
      <c r="U1087" t="s">
        <v>3746</v>
      </c>
      <c r="V1087" t="s">
        <v>3746</v>
      </c>
      <c r="W1087" t="s">
        <v>4821</v>
      </c>
      <c r="X1087">
        <v>4</v>
      </c>
      <c r="Y1087" t="s">
        <v>6617</v>
      </c>
      <c r="Z1087" t="s">
        <v>8475</v>
      </c>
      <c r="AA1087">
        <v>1.169414974556076</v>
      </c>
      <c r="AB1087" t="str">
        <f>HYPERLINK("Melting_Curves/meltCurve_P25686_DNAJB2.pdf", "Melting_Curves/meltCurve_P25686_DNAJB2.pdf")</f>
        <v>Melting_Curves/meltCurve_P25686_DNAJB2.pdf</v>
      </c>
    </row>
    <row r="1088" spans="1:28" x14ac:dyDescent="0.25">
      <c r="A1088" t="s">
        <v>1092</v>
      </c>
      <c r="B1088">
        <v>1</v>
      </c>
      <c r="C1088">
        <v>1.0735572144151899</v>
      </c>
      <c r="D1088">
        <v>1.3630108951994899</v>
      </c>
      <c r="E1088">
        <v>1.5058569006178499</v>
      </c>
      <c r="F1088">
        <v>1.14660767536593</v>
      </c>
      <c r="G1088">
        <v>1.1978872278636401</v>
      </c>
      <c r="H1088">
        <v>0.65620675541349105</v>
      </c>
      <c r="I1088">
        <v>1.0650398581090299</v>
      </c>
      <c r="J1088">
        <v>1.06120022609001</v>
      </c>
      <c r="K1088">
        <v>0.99031321262205896</v>
      </c>
      <c r="L1088">
        <v>1502.2310746569101</v>
      </c>
      <c r="M1088">
        <v>21.6116287554377</v>
      </c>
      <c r="O1088">
        <v>68.923375969860601</v>
      </c>
      <c r="P1088">
        <v>1.52146712068989E-3</v>
      </c>
      <c r="Q1088">
        <v>1.01940846527741</v>
      </c>
      <c r="R1088">
        <v>-0.23972795423927701</v>
      </c>
      <c r="S1088" t="s">
        <v>2962</v>
      </c>
      <c r="T1088" t="s">
        <v>3746</v>
      </c>
      <c r="U1088" t="s">
        <v>3746</v>
      </c>
      <c r="V1088" t="s">
        <v>3746</v>
      </c>
      <c r="W1088" t="s">
        <v>4822</v>
      </c>
      <c r="X1088">
        <v>12</v>
      </c>
      <c r="Y1088" t="s">
        <v>6618</v>
      </c>
      <c r="Z1088" t="s">
        <v>8476</v>
      </c>
      <c r="AA1088">
        <v>1.001468612390743</v>
      </c>
      <c r="AB1088" t="str">
        <f>HYPERLINK("Melting_Curves/meltCurve_P25774_CTSS.pdf", "Melting_Curves/meltCurve_P25774_CTSS.pdf")</f>
        <v>Melting_Curves/meltCurve_P25774_CTSS.pdf</v>
      </c>
    </row>
    <row r="1089" spans="1:28" x14ac:dyDescent="0.25">
      <c r="A1089" t="s">
        <v>1093</v>
      </c>
      <c r="B1089">
        <v>1</v>
      </c>
      <c r="C1089">
        <v>1.01082971128864</v>
      </c>
      <c r="D1089">
        <v>2.10861277711677</v>
      </c>
      <c r="E1089">
        <v>3.5740475438894701</v>
      </c>
      <c r="F1089">
        <v>3.1027365660588102</v>
      </c>
      <c r="G1089">
        <v>3.50678678095331</v>
      </c>
      <c r="H1089">
        <v>1.7591239103513601</v>
      </c>
      <c r="I1089">
        <v>3.0578151178884498</v>
      </c>
      <c r="J1089">
        <v>3.3159313308889602</v>
      </c>
      <c r="K1089">
        <v>2.93009251390137</v>
      </c>
      <c r="L1089">
        <v>10888.286035823099</v>
      </c>
      <c r="M1089">
        <v>250</v>
      </c>
      <c r="O1089">
        <v>43.550349490833902</v>
      </c>
      <c r="P1089">
        <v>0.71756013388708995</v>
      </c>
      <c r="Q1089">
        <v>1.5</v>
      </c>
      <c r="R1089">
        <v>-1.1590489107397399</v>
      </c>
      <c r="S1089" t="s">
        <v>2963</v>
      </c>
      <c r="T1089" t="s">
        <v>3746</v>
      </c>
      <c r="U1089" t="s">
        <v>3746</v>
      </c>
      <c r="V1089" t="s">
        <v>3746</v>
      </c>
      <c r="W1089" t="s">
        <v>4823</v>
      </c>
      <c r="X1089">
        <v>8</v>
      </c>
      <c r="Y1089" t="s">
        <v>6619</v>
      </c>
      <c r="Z1089" t="s">
        <v>8477</v>
      </c>
      <c r="AA1089">
        <v>1.4407427133995081</v>
      </c>
      <c r="AB1089" t="str">
        <f>HYPERLINK("Melting_Curves/meltCurve_P25786_PSMA1.pdf", "Melting_Curves/meltCurve_P25786_PSMA1.pdf")</f>
        <v>Melting_Curves/meltCurve_P25786_PSMA1.pdf</v>
      </c>
    </row>
    <row r="1090" spans="1:28" x14ac:dyDescent="0.25">
      <c r="A1090" t="s">
        <v>1094</v>
      </c>
      <c r="B1090">
        <v>1</v>
      </c>
      <c r="C1090">
        <v>1.05786421535111</v>
      </c>
      <c r="D1090">
        <v>1.7561852667831499</v>
      </c>
      <c r="E1090">
        <v>2.71999797411938</v>
      </c>
      <c r="F1090">
        <v>2.3816505862392101</v>
      </c>
      <c r="G1090">
        <v>2.8028058446655999</v>
      </c>
      <c r="H1090">
        <v>1.4473397655043201</v>
      </c>
      <c r="I1090">
        <v>2.35432652130973</v>
      </c>
      <c r="J1090">
        <v>2.3483501734660299</v>
      </c>
      <c r="K1090">
        <v>2.0673605307807201</v>
      </c>
      <c r="L1090">
        <v>10812.237288771001</v>
      </c>
      <c r="M1090">
        <v>250</v>
      </c>
      <c r="O1090">
        <v>43.246180838416997</v>
      </c>
      <c r="P1090">
        <v>0.72260715156688105</v>
      </c>
      <c r="Q1090">
        <v>1.5</v>
      </c>
      <c r="R1090">
        <v>-0.522237823332245</v>
      </c>
      <c r="S1090" t="s">
        <v>2964</v>
      </c>
      <c r="T1090" t="s">
        <v>3746</v>
      </c>
      <c r="U1090" t="s">
        <v>3746</v>
      </c>
      <c r="V1090" t="s">
        <v>3746</v>
      </c>
      <c r="W1090" t="s">
        <v>4824</v>
      </c>
      <c r="X1090">
        <v>4</v>
      </c>
      <c r="Y1090" t="s">
        <v>6620</v>
      </c>
      <c r="Z1090" t="s">
        <v>8478</v>
      </c>
      <c r="AA1090">
        <v>1.4458128967952191</v>
      </c>
      <c r="AB1090" t="str">
        <f>HYPERLINK("Melting_Curves/meltCurve_P25787_PSMA2.pdf", "Melting_Curves/meltCurve_P25787_PSMA2.pdf")</f>
        <v>Melting_Curves/meltCurve_P25787_PSMA2.pdf</v>
      </c>
    </row>
    <row r="1091" spans="1:28" x14ac:dyDescent="0.25">
      <c r="A1091" t="s">
        <v>1095</v>
      </c>
      <c r="B1091">
        <v>1</v>
      </c>
      <c r="C1091">
        <v>1.0991364808792199</v>
      </c>
      <c r="D1091">
        <v>2.4057418414264902</v>
      </c>
      <c r="E1091">
        <v>3.7839520017943298</v>
      </c>
      <c r="F1091">
        <v>3.71974879443759</v>
      </c>
      <c r="G1091">
        <v>3.4096108556689502</v>
      </c>
      <c r="H1091">
        <v>2.1984972524391599</v>
      </c>
      <c r="I1091">
        <v>3.0492318044185298</v>
      </c>
      <c r="J1091">
        <v>3.57491308736122</v>
      </c>
      <c r="K1091">
        <v>2.84501513962095</v>
      </c>
      <c r="L1091">
        <v>10784.9360901539</v>
      </c>
      <c r="M1091">
        <v>250</v>
      </c>
      <c r="O1091">
        <v>43.136983712581603</v>
      </c>
      <c r="P1091">
        <v>0.72443637347717305</v>
      </c>
      <c r="Q1091">
        <v>1.5</v>
      </c>
      <c r="R1091">
        <v>-1.5074993045174101</v>
      </c>
      <c r="S1091" t="s">
        <v>2965</v>
      </c>
      <c r="T1091" t="s">
        <v>3746</v>
      </c>
      <c r="U1091" t="s">
        <v>3746</v>
      </c>
      <c r="V1091" t="s">
        <v>3746</v>
      </c>
      <c r="W1091" t="s">
        <v>4825</v>
      </c>
      <c r="X1091">
        <v>4</v>
      </c>
      <c r="Y1091" t="s">
        <v>6621</v>
      </c>
      <c r="Z1091" t="s">
        <v>8479</v>
      </c>
      <c r="AA1091">
        <v>1.4476330725257009</v>
      </c>
      <c r="AB1091" t="str">
        <f>HYPERLINK("Melting_Curves/meltCurve_P25788_2_PSMA3.pdf", "Melting_Curves/meltCurve_P25788_2_PSMA3.pdf")</f>
        <v>Melting_Curves/meltCurve_P25788_2_PSMA3.pdf</v>
      </c>
    </row>
    <row r="1092" spans="1:28" x14ac:dyDescent="0.25">
      <c r="A1092" t="s">
        <v>1096</v>
      </c>
      <c r="B1092">
        <v>1</v>
      </c>
      <c r="C1092">
        <v>1.2938469297692601</v>
      </c>
      <c r="D1092">
        <v>1.3515319631824501</v>
      </c>
      <c r="E1092">
        <v>1.8139578867734201</v>
      </c>
      <c r="F1092">
        <v>0.81660572437271495</v>
      </c>
      <c r="G1092">
        <v>0.63182448619341802</v>
      </c>
      <c r="H1092">
        <v>0.70672046400201705</v>
      </c>
      <c r="I1092">
        <v>0.840877569032909</v>
      </c>
      <c r="J1092">
        <v>1.22620098348254</v>
      </c>
      <c r="K1092">
        <v>1.28571428571429</v>
      </c>
      <c r="L1092">
        <v>10223.8163033539</v>
      </c>
      <c r="M1092">
        <v>250</v>
      </c>
      <c r="O1092">
        <v>40.892648198441698</v>
      </c>
      <c r="P1092">
        <v>0.16426447580418499</v>
      </c>
      <c r="Q1092">
        <v>1.1074753505747701</v>
      </c>
      <c r="R1092">
        <v>8.7194847423105494E-3</v>
      </c>
      <c r="S1092" t="s">
        <v>2966</v>
      </c>
      <c r="T1092" t="s">
        <v>3746</v>
      </c>
      <c r="U1092" t="s">
        <v>3746</v>
      </c>
      <c r="V1092" t="s">
        <v>3746</v>
      </c>
      <c r="W1092" t="s">
        <v>4826</v>
      </c>
      <c r="X1092">
        <v>1</v>
      </c>
      <c r="Y1092" t="s">
        <v>6622</v>
      </c>
      <c r="Z1092" t="s">
        <v>8480</v>
      </c>
      <c r="AA1092">
        <v>1.104258276110045</v>
      </c>
      <c r="AB1092" t="str">
        <f>HYPERLINK("Melting_Curves/meltCurve_P25815_S100P.pdf", "Melting_Curves/meltCurve_P25815_S100P.pdf")</f>
        <v>Melting_Curves/meltCurve_P25815_S100P.pdf</v>
      </c>
    </row>
    <row r="1093" spans="1:28" x14ac:dyDescent="0.25">
      <c r="A1093" t="s">
        <v>1097</v>
      </c>
      <c r="B1093">
        <v>1</v>
      </c>
      <c r="C1093">
        <v>0.80020850103590702</v>
      </c>
      <c r="D1093">
        <v>1.07527151321606</v>
      </c>
      <c r="E1093">
        <v>1.4983042795497401</v>
      </c>
      <c r="F1093">
        <v>0.870900909222872</v>
      </c>
      <c r="G1093">
        <v>1.0352340358146701</v>
      </c>
      <c r="H1093">
        <v>0.33094920756410101</v>
      </c>
      <c r="I1093">
        <v>0.65623721611528296</v>
      </c>
      <c r="J1093">
        <v>1.0827010121537599</v>
      </c>
      <c r="K1093">
        <v>0.32795365470644899</v>
      </c>
      <c r="L1093">
        <v>14675.3568109318</v>
      </c>
      <c r="M1093">
        <v>250</v>
      </c>
      <c r="O1093">
        <v>58.697670830687201</v>
      </c>
      <c r="P1093">
        <v>-0.426483398729744</v>
      </c>
      <c r="Q1093">
        <v>0.59946268662215696</v>
      </c>
      <c r="R1093">
        <v>0.40203355406420899</v>
      </c>
      <c r="S1093" t="s">
        <v>2967</v>
      </c>
      <c r="T1093" t="s">
        <v>3746</v>
      </c>
      <c r="U1093" t="s">
        <v>3746</v>
      </c>
      <c r="V1093" t="s">
        <v>3746</v>
      </c>
      <c r="W1093" t="s">
        <v>4827</v>
      </c>
      <c r="X1093">
        <v>1</v>
      </c>
      <c r="Y1093" t="s">
        <v>6623</v>
      </c>
      <c r="Z1093" t="s">
        <v>8481</v>
      </c>
      <c r="AA1093">
        <v>0.84919126416384005</v>
      </c>
      <c r="AB1093" t="str">
        <f>HYPERLINK("Melting_Curves/meltCurve_P25940_COL5A3.pdf", "Melting_Curves/meltCurve_P25940_COL5A3.pdf")</f>
        <v>Melting_Curves/meltCurve_P25940_COL5A3.pdf</v>
      </c>
    </row>
    <row r="1094" spans="1:28" x14ac:dyDescent="0.25">
      <c r="A1094" t="s">
        <v>1098</v>
      </c>
      <c r="B1094">
        <v>1</v>
      </c>
      <c r="C1094">
        <v>0.87766610831937497</v>
      </c>
      <c r="D1094">
        <v>1.19756188349153</v>
      </c>
      <c r="E1094">
        <v>1.53163967988089</v>
      </c>
      <c r="F1094">
        <v>1.9619393262609299</v>
      </c>
      <c r="G1094">
        <v>2.1797878280290299</v>
      </c>
      <c r="H1094">
        <v>1.41271170668156</v>
      </c>
      <c r="I1094">
        <v>1.9382095663502701</v>
      </c>
      <c r="J1094">
        <v>2.1226502884794298</v>
      </c>
      <c r="K1094">
        <v>1.86841615484832</v>
      </c>
      <c r="L1094">
        <v>11519.5879431799</v>
      </c>
      <c r="M1094">
        <v>250</v>
      </c>
      <c r="O1094">
        <v>46.075404387828101</v>
      </c>
      <c r="P1094">
        <v>0.67823606432557604</v>
      </c>
      <c r="Q1094">
        <v>1.5</v>
      </c>
      <c r="R1094">
        <v>0.29604107880492198</v>
      </c>
      <c r="S1094" t="s">
        <v>2968</v>
      </c>
      <c r="T1094" t="s">
        <v>3746</v>
      </c>
      <c r="U1094" t="s">
        <v>3746</v>
      </c>
      <c r="V1094" t="s">
        <v>3746</v>
      </c>
      <c r="W1094" t="s">
        <v>4828</v>
      </c>
      <c r="X1094">
        <v>20</v>
      </c>
      <c r="Y1094" t="s">
        <v>6624</v>
      </c>
      <c r="Z1094" t="s">
        <v>8482</v>
      </c>
      <c r="AA1094">
        <v>1.3986537037263029</v>
      </c>
      <c r="AB1094" t="str">
        <f>HYPERLINK("Melting_Curves/meltCurve_P26038_MSN.pdf", "Melting_Curves/meltCurve_P26038_MSN.pdf")</f>
        <v>Melting_Curves/meltCurve_P26038_MSN.pdf</v>
      </c>
    </row>
    <row r="1095" spans="1:28" x14ac:dyDescent="0.25">
      <c r="A1095" t="s">
        <v>1099</v>
      </c>
      <c r="B1095">
        <v>1</v>
      </c>
      <c r="C1095">
        <v>1.1423520167626999</v>
      </c>
      <c r="D1095">
        <v>1.4496464117338901</v>
      </c>
      <c r="E1095">
        <v>1.6157019381875299</v>
      </c>
      <c r="F1095">
        <v>1.2849004714510199</v>
      </c>
      <c r="G1095">
        <v>1.39372708224201</v>
      </c>
      <c r="H1095">
        <v>0.86458878994237798</v>
      </c>
      <c r="I1095">
        <v>1.2367731796752199</v>
      </c>
      <c r="J1095">
        <v>1.22433211105291</v>
      </c>
      <c r="K1095">
        <v>1.1678234677841799</v>
      </c>
      <c r="L1095">
        <v>10723.4606339743</v>
      </c>
      <c r="M1095">
        <v>250</v>
      </c>
      <c r="O1095">
        <v>42.8910976264577</v>
      </c>
      <c r="P1095">
        <v>0.40755351365299403</v>
      </c>
      <c r="Q1095">
        <v>1.2796866802676301</v>
      </c>
      <c r="R1095">
        <v>0.187850777620616</v>
      </c>
      <c r="S1095" t="s">
        <v>2969</v>
      </c>
      <c r="T1095" t="s">
        <v>3746</v>
      </c>
      <c r="U1095" t="s">
        <v>3746</v>
      </c>
      <c r="V1095" t="s">
        <v>3746</v>
      </c>
      <c r="W1095" t="s">
        <v>4829</v>
      </c>
      <c r="X1095">
        <v>2</v>
      </c>
      <c r="Y1095" t="s">
        <v>6625</v>
      </c>
      <c r="Z1095" t="s">
        <v>8483</v>
      </c>
      <c r="AA1095">
        <v>1.252686652251056</v>
      </c>
      <c r="AB1095" t="str">
        <f>HYPERLINK("Melting_Curves/meltCurve_P26447_S100A4.pdf", "Melting_Curves/meltCurve_P26447_S100A4.pdf")</f>
        <v>Melting_Curves/meltCurve_P26447_S100A4.pdf</v>
      </c>
    </row>
    <row r="1096" spans="1:28" x14ac:dyDescent="0.25">
      <c r="A1096" t="s">
        <v>1100</v>
      </c>
      <c r="B1096">
        <v>1</v>
      </c>
      <c r="C1096">
        <v>0.99546272591315799</v>
      </c>
      <c r="D1096">
        <v>1.39585815315201</v>
      </c>
      <c r="E1096">
        <v>1.7341512255709599</v>
      </c>
      <c r="F1096">
        <v>1.1618463410306501</v>
      </c>
      <c r="G1096">
        <v>1.54921294770728</v>
      </c>
      <c r="H1096">
        <v>1.4645509619528001</v>
      </c>
      <c r="I1096">
        <v>2.56267268256825</v>
      </c>
      <c r="J1096">
        <v>2.63567463435654</v>
      </c>
      <c r="K1096">
        <v>2.4649311804516998</v>
      </c>
      <c r="L1096">
        <v>11438.5761054718</v>
      </c>
      <c r="M1096">
        <v>250</v>
      </c>
      <c r="O1096">
        <v>45.751376472100397</v>
      </c>
      <c r="P1096">
        <v>0.68303955993235099</v>
      </c>
      <c r="Q1096">
        <v>1.5</v>
      </c>
      <c r="R1096">
        <v>3.5458226946811999E-2</v>
      </c>
      <c r="S1096" t="s">
        <v>2970</v>
      </c>
      <c r="T1096" t="s">
        <v>3746</v>
      </c>
      <c r="U1096" t="s">
        <v>3746</v>
      </c>
      <c r="V1096" t="s">
        <v>3746</v>
      </c>
      <c r="W1096" t="s">
        <v>4830</v>
      </c>
      <c r="X1096">
        <v>8</v>
      </c>
      <c r="Y1096" t="s">
        <v>6626</v>
      </c>
      <c r="Z1096" t="s">
        <v>8484</v>
      </c>
      <c r="AA1096">
        <v>1.4040547772557941</v>
      </c>
      <c r="AB1096" t="str">
        <f>HYPERLINK("Melting_Curves/meltCurve_P26572_MGAT1.pdf", "Melting_Curves/meltCurve_P26572_MGAT1.pdf")</f>
        <v>Melting_Curves/meltCurve_P26572_MGAT1.pdf</v>
      </c>
    </row>
    <row r="1097" spans="1:28" x14ac:dyDescent="0.25">
      <c r="A1097" t="s">
        <v>1101</v>
      </c>
      <c r="B1097">
        <v>1</v>
      </c>
      <c r="C1097">
        <v>1.0573229291716699</v>
      </c>
      <c r="D1097">
        <v>1.7976890756302499</v>
      </c>
      <c r="E1097">
        <v>2.8148259303721499</v>
      </c>
      <c r="F1097">
        <v>2.2648859543817501</v>
      </c>
      <c r="G1097">
        <v>2.5040216086434599</v>
      </c>
      <c r="H1097">
        <v>2.0157563025210101</v>
      </c>
      <c r="I1097">
        <v>3.0207082833133301</v>
      </c>
      <c r="J1097">
        <v>3.3874549819927999</v>
      </c>
      <c r="K1097">
        <v>2.9675570228091201</v>
      </c>
      <c r="L1097">
        <v>10812.6928493306</v>
      </c>
      <c r="M1097">
        <v>250</v>
      </c>
      <c r="O1097">
        <v>43.2480026618084</v>
      </c>
      <c r="P1097">
        <v>0.72257670666701701</v>
      </c>
      <c r="Q1097">
        <v>1.5</v>
      </c>
      <c r="R1097">
        <v>-0.944399504583044</v>
      </c>
      <c r="S1097" t="s">
        <v>2971</v>
      </c>
      <c r="T1097" t="s">
        <v>3746</v>
      </c>
      <c r="U1097" t="s">
        <v>3746</v>
      </c>
      <c r="V1097" t="s">
        <v>3746</v>
      </c>
      <c r="W1097" t="s">
        <v>4831</v>
      </c>
      <c r="X1097">
        <v>10</v>
      </c>
      <c r="Y1097" t="s">
        <v>6627</v>
      </c>
      <c r="Z1097" t="s">
        <v>8485</v>
      </c>
      <c r="AA1097">
        <v>1.4457825244922839</v>
      </c>
      <c r="AB1097" t="str">
        <f>HYPERLINK("Melting_Curves/meltCurve_P26639_TARS.pdf", "Melting_Curves/meltCurve_P26639_TARS.pdf")</f>
        <v>Melting_Curves/meltCurve_P26639_TARS.pdf</v>
      </c>
    </row>
    <row r="1098" spans="1:28" x14ac:dyDescent="0.25">
      <c r="A1098" t="s">
        <v>1102</v>
      </c>
      <c r="B1098">
        <v>1</v>
      </c>
      <c r="C1098">
        <v>0.97694097736407903</v>
      </c>
      <c r="D1098">
        <v>1.5262111275650501</v>
      </c>
      <c r="E1098">
        <v>2.3283266342289002</v>
      </c>
      <c r="F1098">
        <v>1.7949227840067701</v>
      </c>
      <c r="G1098">
        <v>2.52477258303364</v>
      </c>
      <c r="H1098">
        <v>1.8732388407023499</v>
      </c>
      <c r="I1098">
        <v>3.2973133065369198</v>
      </c>
      <c r="J1098">
        <v>3.4924476412100698</v>
      </c>
      <c r="K1098">
        <v>3.13175375502433</v>
      </c>
      <c r="L1098">
        <v>11097.5845689046</v>
      </c>
      <c r="M1098">
        <v>250</v>
      </c>
      <c r="O1098">
        <v>44.387497667098799</v>
      </c>
      <c r="P1098">
        <v>0.70402707371348505</v>
      </c>
      <c r="Q1098">
        <v>1.5</v>
      </c>
      <c r="R1098">
        <v>-0.57162866416494296</v>
      </c>
      <c r="S1098" t="s">
        <v>2972</v>
      </c>
      <c r="T1098" t="s">
        <v>3746</v>
      </c>
      <c r="U1098" t="s">
        <v>3746</v>
      </c>
      <c r="V1098" t="s">
        <v>3746</v>
      </c>
      <c r="W1098" t="s">
        <v>4832</v>
      </c>
      <c r="X1098">
        <v>6</v>
      </c>
      <c r="Y1098" t="s">
        <v>6628</v>
      </c>
      <c r="Z1098" t="s">
        <v>8486</v>
      </c>
      <c r="AA1098">
        <v>1.4267887432299531</v>
      </c>
      <c r="AB1098" t="str">
        <f>HYPERLINK("Melting_Curves/meltCurve_P26641_EEF1G.pdf", "Melting_Curves/meltCurve_P26641_EEF1G.pdf")</f>
        <v>Melting_Curves/meltCurve_P26641_EEF1G.pdf</v>
      </c>
    </row>
    <row r="1099" spans="1:28" x14ac:dyDescent="0.25">
      <c r="A1099" t="s">
        <v>1103</v>
      </c>
      <c r="B1099">
        <v>1</v>
      </c>
      <c r="C1099">
        <v>1.5195325269696001</v>
      </c>
      <c r="D1099">
        <v>2.37550397733464</v>
      </c>
      <c r="E1099">
        <v>3.2537866405143299</v>
      </c>
      <c r="F1099">
        <v>2.4483491337038199</v>
      </c>
      <c r="G1099">
        <v>3.0042497548218399</v>
      </c>
      <c r="H1099">
        <v>1.2429170752969401</v>
      </c>
      <c r="I1099">
        <v>2.4362536776724402</v>
      </c>
      <c r="J1099">
        <v>2.1964694344556999</v>
      </c>
      <c r="K1099">
        <v>1.95703933747412</v>
      </c>
      <c r="L1099">
        <v>10275.933452142701</v>
      </c>
      <c r="M1099">
        <v>250</v>
      </c>
      <c r="O1099">
        <v>41.101106417350699</v>
      </c>
      <c r="P1099">
        <v>0.760320220550737</v>
      </c>
      <c r="Q1099">
        <v>1.5</v>
      </c>
      <c r="R1099">
        <v>-0.81861558779076005</v>
      </c>
      <c r="S1099" t="s">
        <v>2973</v>
      </c>
      <c r="T1099" t="s">
        <v>3746</v>
      </c>
      <c r="U1099" t="s">
        <v>3746</v>
      </c>
      <c r="V1099" t="s">
        <v>3746</v>
      </c>
      <c r="W1099" t="s">
        <v>4833</v>
      </c>
      <c r="X1099">
        <v>1</v>
      </c>
      <c r="Y1099" t="s">
        <v>6629</v>
      </c>
      <c r="Z1099" t="s">
        <v>8487</v>
      </c>
      <c r="AA1099">
        <v>1.481565770174587</v>
      </c>
      <c r="AB1099" t="str">
        <f>HYPERLINK("Melting_Curves/meltCurve_P26885_FKBP2.pdf", "Melting_Curves/meltCurve_P26885_FKBP2.pdf")</f>
        <v>Melting_Curves/meltCurve_P26885_FKBP2.pdf</v>
      </c>
    </row>
    <row r="1100" spans="1:28" x14ac:dyDescent="0.25">
      <c r="A1100" t="s">
        <v>1104</v>
      </c>
      <c r="B1100">
        <v>1</v>
      </c>
      <c r="C1100">
        <v>0.92207229958871495</v>
      </c>
      <c r="D1100">
        <v>1.37932029727975</v>
      </c>
      <c r="E1100">
        <v>1.51591023883397</v>
      </c>
      <c r="F1100">
        <v>1.14120787935637</v>
      </c>
      <c r="G1100">
        <v>1.05642542752002</v>
      </c>
      <c r="H1100">
        <v>0.70484883469225801</v>
      </c>
      <c r="I1100">
        <v>1.21675445558843</v>
      </c>
      <c r="J1100">
        <v>1.2422252687784101</v>
      </c>
      <c r="K1100">
        <v>0.97467349736633202</v>
      </c>
      <c r="L1100">
        <v>11076.904168343301</v>
      </c>
      <c r="M1100">
        <v>250</v>
      </c>
      <c r="O1100">
        <v>44.304769529415601</v>
      </c>
      <c r="P1100">
        <v>0.21712829980518</v>
      </c>
      <c r="Q1100">
        <v>1.1539171493093701</v>
      </c>
      <c r="R1100">
        <v>0.113041922031101</v>
      </c>
      <c r="S1100" t="s">
        <v>2974</v>
      </c>
      <c r="T1100" t="s">
        <v>3746</v>
      </c>
      <c r="U1100" t="s">
        <v>3746</v>
      </c>
      <c r="V1100" t="s">
        <v>3746</v>
      </c>
      <c r="W1100" t="s">
        <v>4834</v>
      </c>
      <c r="X1100">
        <v>2</v>
      </c>
      <c r="Y1100" t="s">
        <v>6630</v>
      </c>
      <c r="Z1100" t="s">
        <v>8488</v>
      </c>
      <c r="AA1100">
        <v>1.1318046448823029</v>
      </c>
      <c r="AB1100" t="str">
        <f>HYPERLINK("Melting_Curves/meltCurve_P26992_CNTFR.pdf", "Melting_Curves/meltCurve_P26992_CNTFR.pdf")</f>
        <v>Melting_Curves/meltCurve_P26992_CNTFR.pdf</v>
      </c>
    </row>
    <row r="1101" spans="1:28" x14ac:dyDescent="0.25">
      <c r="A1101" t="s">
        <v>1105</v>
      </c>
      <c r="B1101">
        <v>1</v>
      </c>
      <c r="C1101">
        <v>1.03717448866835</v>
      </c>
      <c r="D1101">
        <v>1.8436920125930401</v>
      </c>
      <c r="E1101">
        <v>3.0377582720013301</v>
      </c>
      <c r="F1101">
        <v>2.4573108437754101</v>
      </c>
      <c r="G1101">
        <v>3.0634030398432102</v>
      </c>
      <c r="H1101">
        <v>1.9895544482205001</v>
      </c>
      <c r="I1101">
        <v>2.7921522840522899</v>
      </c>
      <c r="J1101">
        <v>2.97104017680295</v>
      </c>
      <c r="K1101">
        <v>2.6870712841148401</v>
      </c>
      <c r="L1101">
        <v>10833.1791795953</v>
      </c>
      <c r="M1101">
        <v>250</v>
      </c>
      <c r="O1101">
        <v>43.329944444530199</v>
      </c>
      <c r="P1101">
        <v>0.72121026152840795</v>
      </c>
      <c r="Q1101">
        <v>1.5</v>
      </c>
      <c r="R1101">
        <v>-1.0290023466470299</v>
      </c>
      <c r="S1101" t="s">
        <v>2975</v>
      </c>
      <c r="T1101" t="s">
        <v>3746</v>
      </c>
      <c r="U1101" t="s">
        <v>3746</v>
      </c>
      <c r="V1101" t="s">
        <v>3746</v>
      </c>
      <c r="W1101" t="s">
        <v>4835</v>
      </c>
      <c r="X1101">
        <v>4</v>
      </c>
      <c r="Y1101" t="s">
        <v>6631</v>
      </c>
      <c r="Z1101" t="s">
        <v>8489</v>
      </c>
      <c r="AA1101">
        <v>1.444416697236403</v>
      </c>
      <c r="AB1101" t="str">
        <f>HYPERLINK("Melting_Curves/meltCurve_P27169_PON1.pdf", "Melting_Curves/meltCurve_P27169_PON1.pdf")</f>
        <v>Melting_Curves/meltCurve_P27169_PON1.pdf</v>
      </c>
    </row>
    <row r="1102" spans="1:28" x14ac:dyDescent="0.25">
      <c r="A1102" t="s">
        <v>1106</v>
      </c>
      <c r="B1102">
        <v>1</v>
      </c>
      <c r="C1102">
        <v>1.08091363249635</v>
      </c>
      <c r="D1102">
        <v>1.87050328323044</v>
      </c>
      <c r="E1102">
        <v>2.8342677632583602</v>
      </c>
      <c r="F1102">
        <v>1.8583520582909701</v>
      </c>
      <c r="G1102">
        <v>1.9243220838150901</v>
      </c>
      <c r="H1102">
        <v>1.80075917886516</v>
      </c>
      <c r="I1102">
        <v>2.1846026309474502</v>
      </c>
      <c r="J1102">
        <v>2.5524117018259602</v>
      </c>
      <c r="K1102">
        <v>2.4324265363555102</v>
      </c>
      <c r="L1102">
        <v>10795.557042733401</v>
      </c>
      <c r="M1102">
        <v>250</v>
      </c>
      <c r="O1102">
        <v>43.179480633777501</v>
      </c>
      <c r="P1102">
        <v>0.72372365242440195</v>
      </c>
      <c r="Q1102">
        <v>1.5</v>
      </c>
      <c r="R1102">
        <v>-0.52246222492259298</v>
      </c>
      <c r="S1102" t="s">
        <v>2976</v>
      </c>
      <c r="T1102" t="s">
        <v>3746</v>
      </c>
      <c r="U1102" t="s">
        <v>3746</v>
      </c>
      <c r="V1102" t="s">
        <v>3746</v>
      </c>
      <c r="W1102" t="s">
        <v>4836</v>
      </c>
      <c r="X1102">
        <v>10</v>
      </c>
      <c r="Y1102" t="s">
        <v>6632</v>
      </c>
      <c r="Z1102" t="s">
        <v>8490</v>
      </c>
      <c r="AA1102">
        <v>1.4469249717429371</v>
      </c>
      <c r="AB1102" t="str">
        <f>HYPERLINK("Melting_Curves/meltCurve_P27348_YWHAQ.pdf", "Melting_Curves/meltCurve_P27348_YWHAQ.pdf")</f>
        <v>Melting_Curves/meltCurve_P27348_YWHAQ.pdf</v>
      </c>
    </row>
    <row r="1103" spans="1:28" x14ac:dyDescent="0.25">
      <c r="A1103" t="s">
        <v>1107</v>
      </c>
      <c r="B1103">
        <v>1</v>
      </c>
      <c r="C1103">
        <v>1.0355505021792699</v>
      </c>
      <c r="D1103">
        <v>1.40716316088687</v>
      </c>
      <c r="E1103">
        <v>1.66492325184764</v>
      </c>
      <c r="F1103">
        <v>1.13500094750805</v>
      </c>
      <c r="G1103">
        <v>1.2511654349062</v>
      </c>
      <c r="H1103">
        <v>0.620845177184006</v>
      </c>
      <c r="I1103">
        <v>1.0563956793632701</v>
      </c>
      <c r="J1103">
        <v>1.0875497441728299</v>
      </c>
      <c r="K1103">
        <v>1.11859010801592</v>
      </c>
      <c r="L1103">
        <v>15000</v>
      </c>
      <c r="M1103">
        <v>234.56333446497899</v>
      </c>
      <c r="O1103">
        <v>63.9439788406969</v>
      </c>
      <c r="P1103">
        <v>9.4526028507944407E-2</v>
      </c>
      <c r="Q1103">
        <v>1.103074405099</v>
      </c>
      <c r="R1103">
        <v>-0.246813502757667</v>
      </c>
      <c r="S1103" t="s">
        <v>2977</v>
      </c>
      <c r="T1103" t="s">
        <v>3746</v>
      </c>
      <c r="U1103" t="s">
        <v>3746</v>
      </c>
      <c r="V1103" t="s">
        <v>3746</v>
      </c>
      <c r="W1103" t="s">
        <v>4837</v>
      </c>
      <c r="X1103">
        <v>2</v>
      </c>
      <c r="Y1103" t="s">
        <v>6633</v>
      </c>
      <c r="Z1103" t="s">
        <v>8491</v>
      </c>
      <c r="AA1103">
        <v>1.0207782947113151</v>
      </c>
      <c r="AB1103" t="str">
        <f>HYPERLINK("Melting_Curves/meltCurve_P27469_G0S2.pdf", "Melting_Curves/meltCurve_P27469_G0S2.pdf")</f>
        <v>Melting_Curves/meltCurve_P27469_G0S2.pdf</v>
      </c>
    </row>
    <row r="1104" spans="1:28" x14ac:dyDescent="0.25">
      <c r="A1104" t="s">
        <v>1108</v>
      </c>
      <c r="B1104">
        <v>1</v>
      </c>
      <c r="C1104">
        <v>0.88982548567665498</v>
      </c>
      <c r="D1104">
        <v>1.24985182746131</v>
      </c>
      <c r="E1104">
        <v>1.6397760948304201</v>
      </c>
      <c r="F1104">
        <v>1.05512018439249</v>
      </c>
      <c r="G1104">
        <v>1.1002304906157401</v>
      </c>
      <c r="H1104">
        <v>0.55513994073098405</v>
      </c>
      <c r="I1104">
        <v>1.19888047415212</v>
      </c>
      <c r="J1104">
        <v>1.2560421468554499</v>
      </c>
      <c r="K1104">
        <v>0.90609153770167905</v>
      </c>
      <c r="L1104">
        <v>2059.7003156750402</v>
      </c>
      <c r="M1104">
        <v>32.1313686888451</v>
      </c>
      <c r="O1104">
        <v>63.855713000492003</v>
      </c>
      <c r="P1104">
        <v>1.00933838833571E-2</v>
      </c>
      <c r="Q1104">
        <v>1.0802352395763899</v>
      </c>
      <c r="R1104">
        <v>-8.2741900331907897E-2</v>
      </c>
      <c r="S1104" t="s">
        <v>2978</v>
      </c>
      <c r="T1104" t="s">
        <v>3746</v>
      </c>
      <c r="U1104" t="s">
        <v>3746</v>
      </c>
      <c r="V1104" t="s">
        <v>3746</v>
      </c>
      <c r="W1104" t="s">
        <v>4838</v>
      </c>
      <c r="X1104">
        <v>3</v>
      </c>
      <c r="Y1104" t="s">
        <v>6634</v>
      </c>
      <c r="Z1104" t="s">
        <v>8492</v>
      </c>
      <c r="AA1104">
        <v>1.0156619330213099</v>
      </c>
      <c r="AB1104" t="str">
        <f>HYPERLINK("Melting_Curves/meltCurve_P27482_CALML3.pdf", "Melting_Curves/meltCurve_P27482_CALML3.pdf")</f>
        <v>Melting_Curves/meltCurve_P27482_CALML3.pdf</v>
      </c>
    </row>
    <row r="1105" spans="1:28" x14ac:dyDescent="0.25">
      <c r="A1105" t="s">
        <v>1109</v>
      </c>
      <c r="B1105">
        <v>1</v>
      </c>
      <c r="C1105">
        <v>1.0803791922249699</v>
      </c>
      <c r="D1105">
        <v>1.8058631402851899</v>
      </c>
      <c r="E1105">
        <v>3.4748665657611699</v>
      </c>
      <c r="F1105">
        <v>2.1797976579303802</v>
      </c>
      <c r="G1105">
        <v>2.1958894288218</v>
      </c>
      <c r="H1105">
        <v>2.04349557874612</v>
      </c>
      <c r="I1105">
        <v>2.5062534852226599</v>
      </c>
      <c r="J1105">
        <v>2.8955628136700402</v>
      </c>
      <c r="K1105">
        <v>2.9809607265195601</v>
      </c>
      <c r="L1105">
        <v>10795.8960824392</v>
      </c>
      <c r="M1105">
        <v>250</v>
      </c>
      <c r="O1105">
        <v>43.180820889233601</v>
      </c>
      <c r="P1105">
        <v>0.72370092576594203</v>
      </c>
      <c r="Q1105">
        <v>1.5</v>
      </c>
      <c r="R1105">
        <v>-0.82774902091201197</v>
      </c>
      <c r="S1105" t="s">
        <v>2979</v>
      </c>
      <c r="T1105" t="s">
        <v>3746</v>
      </c>
      <c r="U1105" t="s">
        <v>3746</v>
      </c>
      <c r="V1105" t="s">
        <v>3746</v>
      </c>
      <c r="W1105" t="s">
        <v>4839</v>
      </c>
      <c r="X1105">
        <v>9</v>
      </c>
      <c r="Y1105" t="s">
        <v>6635</v>
      </c>
      <c r="Z1105" t="s">
        <v>8493</v>
      </c>
      <c r="AA1105">
        <v>1.446902367905913</v>
      </c>
      <c r="AB1105" t="str">
        <f>HYPERLINK("Melting_Curves/meltCurve_P27797_CALR.pdf", "Melting_Curves/meltCurve_P27797_CALR.pdf")</f>
        <v>Melting_Curves/meltCurve_P27797_CALR.pdf</v>
      </c>
    </row>
    <row r="1106" spans="1:28" x14ac:dyDescent="0.25">
      <c r="A1106" t="s">
        <v>1110</v>
      </c>
      <c r="B1106">
        <v>1</v>
      </c>
      <c r="C1106">
        <v>0.90202753820547699</v>
      </c>
      <c r="D1106">
        <v>1.2333182024511999</v>
      </c>
      <c r="E1106">
        <v>1.56574368285671</v>
      </c>
      <c r="F1106">
        <v>1.0314722348312899</v>
      </c>
      <c r="G1106">
        <v>1.0705855651384499</v>
      </c>
      <c r="H1106">
        <v>0.76940535633227403</v>
      </c>
      <c r="I1106">
        <v>1.1115902557119099</v>
      </c>
      <c r="J1106">
        <v>1.11068240278408</v>
      </c>
      <c r="K1106">
        <v>1.03109396277803</v>
      </c>
      <c r="L1106">
        <v>11096.419221411599</v>
      </c>
      <c r="M1106">
        <v>250</v>
      </c>
      <c r="O1106">
        <v>44.382836589358</v>
      </c>
      <c r="P1106">
        <v>0.162624479996055</v>
      </c>
      <c r="Q1106">
        <v>1.1154837711611301</v>
      </c>
      <c r="R1106">
        <v>9.6017414205189805E-2</v>
      </c>
      <c r="S1106" t="s">
        <v>2980</v>
      </c>
      <c r="T1106" t="s">
        <v>3746</v>
      </c>
      <c r="U1106" t="s">
        <v>3746</v>
      </c>
      <c r="V1106" t="s">
        <v>3746</v>
      </c>
      <c r="W1106" t="s">
        <v>4840</v>
      </c>
      <c r="X1106">
        <v>3</v>
      </c>
      <c r="Y1106" t="s">
        <v>6636</v>
      </c>
      <c r="Z1106" t="s">
        <v>8494</v>
      </c>
      <c r="AA1106">
        <v>1.0985922918891231</v>
      </c>
      <c r="AB1106" t="str">
        <f>HYPERLINK("Melting_Curves/meltCurve_P27824_CANX.pdf", "Melting_Curves/meltCurve_P27824_CANX.pdf")</f>
        <v>Melting_Curves/meltCurve_P27824_CANX.pdf</v>
      </c>
    </row>
    <row r="1107" spans="1:28" x14ac:dyDescent="0.25">
      <c r="A1107" t="s">
        <v>1111</v>
      </c>
      <c r="B1107">
        <v>1</v>
      </c>
      <c r="C1107">
        <v>1.1647915718280499</v>
      </c>
      <c r="D1107">
        <v>1.89581843012291</v>
      </c>
      <c r="E1107">
        <v>2.9648826168953599</v>
      </c>
      <c r="F1107">
        <v>2.30630161930155</v>
      </c>
      <c r="G1107">
        <v>2.6710021460623001</v>
      </c>
      <c r="H1107">
        <v>1.3587825973857099</v>
      </c>
      <c r="I1107">
        <v>2.5101125056903202</v>
      </c>
      <c r="J1107">
        <v>2.3955908174546399</v>
      </c>
      <c r="K1107">
        <v>2.1509397151590002</v>
      </c>
      <c r="L1107">
        <v>10755.462007418801</v>
      </c>
      <c r="M1107">
        <v>250</v>
      </c>
      <c r="O1107">
        <v>43.019094982168802</v>
      </c>
      <c r="P1107">
        <v>0.72642160643073905</v>
      </c>
      <c r="Q1107">
        <v>1.5</v>
      </c>
      <c r="R1107">
        <v>-0.64067054869326201</v>
      </c>
      <c r="S1107" t="s">
        <v>2981</v>
      </c>
      <c r="T1107" t="s">
        <v>3746</v>
      </c>
      <c r="U1107" t="s">
        <v>3746</v>
      </c>
      <c r="V1107" t="s">
        <v>3746</v>
      </c>
      <c r="W1107" t="s">
        <v>4841</v>
      </c>
      <c r="X1107">
        <v>6</v>
      </c>
      <c r="Y1107" t="s">
        <v>6637</v>
      </c>
      <c r="Z1107" t="s">
        <v>8495</v>
      </c>
      <c r="AA1107">
        <v>1.4495981148197721</v>
      </c>
      <c r="AB1107" t="str">
        <f>HYPERLINK("Melting_Curves/meltCurve_P28062_2_PSMB8.pdf", "Melting_Curves/meltCurve_P28062_2_PSMB8.pdf")</f>
        <v>Melting_Curves/meltCurve_P28062_2_PSMB8.pdf</v>
      </c>
    </row>
    <row r="1108" spans="1:28" x14ac:dyDescent="0.25">
      <c r="A1108" t="s">
        <v>1112</v>
      </c>
      <c r="B1108">
        <v>1</v>
      </c>
      <c r="C1108">
        <v>1.0475528149968301</v>
      </c>
      <c r="D1108">
        <v>1.71774305716538</v>
      </c>
      <c r="E1108">
        <v>2.7017169703432402</v>
      </c>
      <c r="F1108">
        <v>1.8810947810901399</v>
      </c>
      <c r="G1108">
        <v>2.3892314587293502</v>
      </c>
      <c r="H1108">
        <v>1.3849815321371699</v>
      </c>
      <c r="I1108">
        <v>2.1444356870199499</v>
      </c>
      <c r="J1108">
        <v>2.1027091350240301</v>
      </c>
      <c r="K1108">
        <v>1.8860401502155899</v>
      </c>
      <c r="L1108">
        <v>10821.6454967872</v>
      </c>
      <c r="M1108">
        <v>250</v>
      </c>
      <c r="O1108">
        <v>43.283818494391497</v>
      </c>
      <c r="P1108">
        <v>0.72197892537278696</v>
      </c>
      <c r="Q1108">
        <v>1.5</v>
      </c>
      <c r="R1108">
        <v>-0.21899443861627599</v>
      </c>
      <c r="S1108" t="s">
        <v>2982</v>
      </c>
      <c r="T1108" t="s">
        <v>3746</v>
      </c>
      <c r="U1108" t="s">
        <v>3746</v>
      </c>
      <c r="V1108" t="s">
        <v>3746</v>
      </c>
      <c r="W1108" t="s">
        <v>4842</v>
      </c>
      <c r="X1108">
        <v>5</v>
      </c>
      <c r="Y1108" t="s">
        <v>6638</v>
      </c>
      <c r="Z1108" t="s">
        <v>8496</v>
      </c>
      <c r="AA1108">
        <v>1.4451856499057369</v>
      </c>
      <c r="AB1108" t="str">
        <f>HYPERLINK("Melting_Curves/meltCurve_P28066_PSMA5.pdf", "Melting_Curves/meltCurve_P28066_PSMA5.pdf")</f>
        <v>Melting_Curves/meltCurve_P28066_PSMA5.pdf</v>
      </c>
    </row>
    <row r="1109" spans="1:28" x14ac:dyDescent="0.25">
      <c r="A1109" t="s">
        <v>1113</v>
      </c>
      <c r="B1109">
        <v>1</v>
      </c>
      <c r="C1109">
        <v>0.98393031057244895</v>
      </c>
      <c r="D1109">
        <v>2.3024564441077802</v>
      </c>
      <c r="E1109">
        <v>4.3089492479168898</v>
      </c>
      <c r="F1109">
        <v>3.6782274645601101</v>
      </c>
      <c r="G1109">
        <v>4.8326479818201502</v>
      </c>
      <c r="H1109">
        <v>2.8099772751866698</v>
      </c>
      <c r="I1109">
        <v>4.3802077697218902</v>
      </c>
      <c r="J1109">
        <v>4.5464776539335601</v>
      </c>
      <c r="K1109">
        <v>4.0597337950438304</v>
      </c>
      <c r="L1109">
        <v>11014.4677072988</v>
      </c>
      <c r="M1109">
        <v>250</v>
      </c>
      <c r="O1109">
        <v>44.0550524202772</v>
      </c>
      <c r="P1109">
        <v>0.70933976991867498</v>
      </c>
      <c r="Q1109">
        <v>1.5</v>
      </c>
      <c r="R1109">
        <v>-1.6866656573807499</v>
      </c>
      <c r="S1109" t="s">
        <v>2983</v>
      </c>
      <c r="T1109" t="s">
        <v>3746</v>
      </c>
      <c r="U1109" t="s">
        <v>3746</v>
      </c>
      <c r="V1109" t="s">
        <v>3746</v>
      </c>
      <c r="W1109" t="s">
        <v>4843</v>
      </c>
      <c r="X1109">
        <v>4</v>
      </c>
      <c r="Y1109" t="s">
        <v>6639</v>
      </c>
      <c r="Z1109" t="s">
        <v>8497</v>
      </c>
      <c r="AA1109">
        <v>1.4323301590745841</v>
      </c>
      <c r="AB1109" t="str">
        <f>HYPERLINK("Melting_Curves/meltCurve_P28070_PSMB4.pdf", "Melting_Curves/meltCurve_P28070_PSMB4.pdf")</f>
        <v>Melting_Curves/meltCurve_P28070_PSMB4.pdf</v>
      </c>
    </row>
    <row r="1110" spans="1:28" x14ac:dyDescent="0.25">
      <c r="A1110" t="s">
        <v>1114</v>
      </c>
      <c r="B1110">
        <v>1</v>
      </c>
      <c r="C1110">
        <v>1.12973432731275</v>
      </c>
      <c r="D1110">
        <v>3.2383048981838201</v>
      </c>
      <c r="E1110">
        <v>5.9198479011357401</v>
      </c>
      <c r="F1110">
        <v>4.4880172111872696</v>
      </c>
      <c r="G1110">
        <v>5.5216890979136402</v>
      </c>
      <c r="H1110">
        <v>3.65317456346625</v>
      </c>
      <c r="I1110">
        <v>4.8333416720868598</v>
      </c>
      <c r="J1110">
        <v>5.2238955320958604</v>
      </c>
      <c r="K1110">
        <v>4.8079251513483801</v>
      </c>
      <c r="L1110">
        <v>10769.9901224081</v>
      </c>
      <c r="M1110">
        <v>250</v>
      </c>
      <c r="O1110">
        <v>43.077203843398301</v>
      </c>
      <c r="P1110">
        <v>0.72544170426640697</v>
      </c>
      <c r="Q1110">
        <v>1.5</v>
      </c>
      <c r="R1110">
        <v>-2.2648270057017901</v>
      </c>
      <c r="S1110" t="s">
        <v>2984</v>
      </c>
      <c r="T1110" t="s">
        <v>3746</v>
      </c>
      <c r="U1110" t="s">
        <v>3746</v>
      </c>
      <c r="V1110" t="s">
        <v>3746</v>
      </c>
      <c r="W1110" t="s">
        <v>4844</v>
      </c>
      <c r="X1110">
        <v>3</v>
      </c>
      <c r="Y1110" t="s">
        <v>6640</v>
      </c>
      <c r="Z1110" t="s">
        <v>8498</v>
      </c>
      <c r="AA1110">
        <v>1.448629522831973</v>
      </c>
      <c r="AB1110" t="str">
        <f>HYPERLINK("Melting_Curves/meltCurve_P28072_PSMB6.pdf", "Melting_Curves/meltCurve_P28072_PSMB6.pdf")</f>
        <v>Melting_Curves/meltCurve_P28072_PSMB6.pdf</v>
      </c>
    </row>
    <row r="1111" spans="1:28" x14ac:dyDescent="0.25">
      <c r="A1111" t="s">
        <v>1115</v>
      </c>
      <c r="B1111">
        <v>1</v>
      </c>
      <c r="C1111">
        <v>1.0973298095324899</v>
      </c>
      <c r="D1111">
        <v>1.7238448920076599</v>
      </c>
      <c r="E1111">
        <v>2.7225918162763101</v>
      </c>
      <c r="F1111">
        <v>1.71338740544974</v>
      </c>
      <c r="G1111">
        <v>1.5713797502961799</v>
      </c>
      <c r="H1111">
        <v>1.41456301831769</v>
      </c>
      <c r="I1111">
        <v>1.8143169598104401</v>
      </c>
      <c r="J1111">
        <v>1.88182356693703</v>
      </c>
      <c r="K1111">
        <v>1.93363255262918</v>
      </c>
      <c r="L1111">
        <v>222.31413966513901</v>
      </c>
      <c r="M1111">
        <v>30.024222473933499</v>
      </c>
      <c r="Q1111">
        <v>1.5</v>
      </c>
      <c r="R1111">
        <v>-0.16728809560656599</v>
      </c>
      <c r="S1111" t="s">
        <v>2985</v>
      </c>
      <c r="T1111" t="s">
        <v>3746</v>
      </c>
      <c r="U1111" t="s">
        <v>3746</v>
      </c>
      <c r="V1111" t="s">
        <v>3746</v>
      </c>
      <c r="W1111" t="s">
        <v>4845</v>
      </c>
      <c r="X1111">
        <v>3</v>
      </c>
      <c r="Y1111" t="s">
        <v>6641</v>
      </c>
      <c r="Z1111" t="s">
        <v>8499</v>
      </c>
      <c r="AA1111">
        <v>1.499999999996342</v>
      </c>
      <c r="AB1111" t="str">
        <f>HYPERLINK("Melting_Curves/meltCurve_P28074_PSMB5.pdf", "Melting_Curves/meltCurve_P28074_PSMB5.pdf")</f>
        <v>Melting_Curves/meltCurve_P28074_PSMB5.pdf</v>
      </c>
    </row>
    <row r="1112" spans="1:28" x14ac:dyDescent="0.25">
      <c r="A1112" t="s">
        <v>1116</v>
      </c>
      <c r="B1112">
        <v>1</v>
      </c>
      <c r="C1112">
        <v>1.00737040872267</v>
      </c>
      <c r="D1112">
        <v>1.2316501187793101</v>
      </c>
      <c r="E1112">
        <v>1.3882256197843701</v>
      </c>
      <c r="F1112">
        <v>0.94475239081439999</v>
      </c>
      <c r="G1112">
        <v>0.95370652372540698</v>
      </c>
      <c r="H1112">
        <v>0.62828165925565005</v>
      </c>
      <c r="I1112">
        <v>0.89111896205153196</v>
      </c>
      <c r="J1112">
        <v>0.88627642078333402</v>
      </c>
      <c r="K1112">
        <v>0.83766827069501104</v>
      </c>
      <c r="L1112">
        <v>14314.2349872876</v>
      </c>
      <c r="M1112">
        <v>250</v>
      </c>
      <c r="O1112">
        <v>57.2532759017611</v>
      </c>
      <c r="P1112">
        <v>-0.20649872991652801</v>
      </c>
      <c r="Q1112">
        <v>0.81083634016147399</v>
      </c>
      <c r="R1112">
        <v>0.35553082693792298</v>
      </c>
      <c r="S1112" t="s">
        <v>2986</v>
      </c>
      <c r="T1112" t="s">
        <v>3746</v>
      </c>
      <c r="U1112" t="s">
        <v>3746</v>
      </c>
      <c r="V1112" t="s">
        <v>3746</v>
      </c>
      <c r="W1112" t="s">
        <v>4846</v>
      </c>
      <c r="X1112">
        <v>19</v>
      </c>
      <c r="Y1112" t="s">
        <v>6642</v>
      </c>
      <c r="Z1112" t="s">
        <v>8500</v>
      </c>
      <c r="AA1112">
        <v>0.91966821222561312</v>
      </c>
      <c r="AB1112" t="str">
        <f>HYPERLINK("Melting_Curves/meltCurve_P28799_GRN.pdf", "Melting_Curves/meltCurve_P28799_GRN.pdf")</f>
        <v>Melting_Curves/meltCurve_P28799_GRN.pdf</v>
      </c>
    </row>
    <row r="1113" spans="1:28" x14ac:dyDescent="0.25">
      <c r="A1113" t="s">
        <v>1117</v>
      </c>
      <c r="B1113">
        <v>1</v>
      </c>
      <c r="C1113">
        <v>0.89487060998151602</v>
      </c>
      <c r="D1113">
        <v>1.1963955637707899</v>
      </c>
      <c r="E1113">
        <v>1.22494718774756</v>
      </c>
      <c r="F1113">
        <v>0.83096778452600994</v>
      </c>
      <c r="G1113">
        <v>1.0465077898072399</v>
      </c>
      <c r="H1113">
        <v>0.55073277000264098</v>
      </c>
      <c r="I1113">
        <v>0.87533007657776596</v>
      </c>
      <c r="J1113">
        <v>0.81776472141536805</v>
      </c>
      <c r="K1113">
        <v>0.75547927119091596</v>
      </c>
      <c r="L1113">
        <v>14692.215054942901</v>
      </c>
      <c r="M1113">
        <v>250</v>
      </c>
      <c r="O1113">
        <v>58.765099441993797</v>
      </c>
      <c r="P1113">
        <v>-0.26606957146485799</v>
      </c>
      <c r="Q1113">
        <v>0.74983032325132704</v>
      </c>
      <c r="R1113">
        <v>0.49226964421560498</v>
      </c>
      <c r="S1113" t="s">
        <v>2987</v>
      </c>
      <c r="T1113" t="s">
        <v>3746</v>
      </c>
      <c r="U1113" t="s">
        <v>3746</v>
      </c>
      <c r="V1113" t="s">
        <v>3746</v>
      </c>
      <c r="W1113" t="s">
        <v>4847</v>
      </c>
      <c r="X1113">
        <v>17</v>
      </c>
      <c r="Y1113" t="s">
        <v>6643</v>
      </c>
      <c r="Z1113" t="s">
        <v>8501</v>
      </c>
      <c r="AA1113">
        <v>0.90636944849765788</v>
      </c>
      <c r="AB1113" t="str">
        <f>HYPERLINK("Melting_Curves/meltCurve_P28838_2_LAP3.pdf", "Melting_Curves/meltCurve_P28838_2_LAP3.pdf")</f>
        <v>Melting_Curves/meltCurve_P28838_2_LAP3.pdf</v>
      </c>
    </row>
    <row r="1114" spans="1:28" x14ac:dyDescent="0.25">
      <c r="A1114" t="s">
        <v>1118</v>
      </c>
      <c r="B1114">
        <v>1</v>
      </c>
      <c r="C1114">
        <v>1.0605648743618601</v>
      </c>
      <c r="D1114">
        <v>1.31217264469933</v>
      </c>
      <c r="E1114">
        <v>1.55065305310615</v>
      </c>
      <c r="F1114">
        <v>1.1105880792945699</v>
      </c>
      <c r="G1114">
        <v>1.2294967844593201</v>
      </c>
      <c r="H1114">
        <v>0.72276735397467395</v>
      </c>
      <c r="I1114">
        <v>1.2136511304117199</v>
      </c>
      <c r="J1114">
        <v>1.0892726911092001</v>
      </c>
      <c r="K1114">
        <v>1.05824438109129</v>
      </c>
      <c r="L1114">
        <v>10746.636980469901</v>
      </c>
      <c r="M1114">
        <v>250</v>
      </c>
      <c r="O1114">
        <v>42.983797029482801</v>
      </c>
      <c r="P1114">
        <v>0.23389011324246001</v>
      </c>
      <c r="Q1114">
        <v>1.1608557624324201</v>
      </c>
      <c r="R1114">
        <v>6.9061609156203602E-2</v>
      </c>
      <c r="S1114" t="s">
        <v>2988</v>
      </c>
      <c r="T1114" t="s">
        <v>3746</v>
      </c>
      <c r="U1114" t="s">
        <v>3746</v>
      </c>
      <c r="V1114" t="s">
        <v>3746</v>
      </c>
      <c r="W1114" t="s">
        <v>4848</v>
      </c>
      <c r="X1114">
        <v>6</v>
      </c>
      <c r="Y1114" t="s">
        <v>6644</v>
      </c>
      <c r="Z1114" t="s">
        <v>8502</v>
      </c>
      <c r="AA1114">
        <v>1.144830179250772</v>
      </c>
      <c r="AB1114" t="str">
        <f>HYPERLINK("Melting_Curves/meltCurve_P29218_IMPA1.pdf", "Melting_Curves/meltCurve_P29218_IMPA1.pdf")</f>
        <v>Melting_Curves/meltCurve_P29218_IMPA1.pdf</v>
      </c>
    </row>
    <row r="1115" spans="1:28" x14ac:dyDescent="0.25">
      <c r="A1115" t="s">
        <v>1119</v>
      </c>
      <c r="B1115">
        <v>1</v>
      </c>
      <c r="C1115">
        <v>1.05905158695715</v>
      </c>
      <c r="D1115">
        <v>1.7123802910627</v>
      </c>
      <c r="E1115">
        <v>2.60495327373203</v>
      </c>
      <c r="F1115">
        <v>1.7948384110175599</v>
      </c>
      <c r="G1115">
        <v>2.5411567282932599</v>
      </c>
      <c r="H1115">
        <v>1.9166449671614201</v>
      </c>
      <c r="I1115">
        <v>2.5259670746173701</v>
      </c>
      <c r="J1115">
        <v>2.7496166420738901</v>
      </c>
      <c r="K1115">
        <v>2.5345022133495401</v>
      </c>
      <c r="L1115">
        <v>1.0000000000000001E-5</v>
      </c>
      <c r="M1115">
        <v>28.410663479470902</v>
      </c>
      <c r="Q1115">
        <v>1.5</v>
      </c>
      <c r="R1115">
        <v>-0.78244812570779398</v>
      </c>
      <c r="S1115" t="s">
        <v>2989</v>
      </c>
      <c r="T1115" t="s">
        <v>3746</v>
      </c>
      <c r="U1115" t="s">
        <v>3746</v>
      </c>
      <c r="V1115" t="s">
        <v>3746</v>
      </c>
      <c r="W1115" t="s">
        <v>4849</v>
      </c>
      <c r="X1115">
        <v>6</v>
      </c>
      <c r="Y1115" t="s">
        <v>6645</v>
      </c>
      <c r="Z1115" t="s">
        <v>8503</v>
      </c>
      <c r="AA1115">
        <v>1.49999999999977</v>
      </c>
      <c r="AB1115" t="str">
        <f>HYPERLINK("Melting_Curves/meltCurve_P29373_CRABP2.pdf", "Melting_Curves/meltCurve_P29373_CRABP2.pdf")</f>
        <v>Melting_Curves/meltCurve_P29373_CRABP2.pdf</v>
      </c>
    </row>
    <row r="1116" spans="1:28" x14ac:dyDescent="0.25">
      <c r="A1116" t="s">
        <v>1120</v>
      </c>
      <c r="B1116">
        <v>1</v>
      </c>
      <c r="C1116">
        <v>1.1191008048789099</v>
      </c>
      <c r="D1116">
        <v>1.6635109740098599</v>
      </c>
      <c r="E1116">
        <v>1.61032514271531</v>
      </c>
      <c r="F1116">
        <v>1.2845796546466699</v>
      </c>
      <c r="G1116">
        <v>1.3615572811403001</v>
      </c>
      <c r="H1116">
        <v>0.70740701343828705</v>
      </c>
      <c r="I1116">
        <v>1.19270999539056</v>
      </c>
      <c r="J1116">
        <v>1.10431514377903</v>
      </c>
      <c r="K1116">
        <v>1.0088288479948899</v>
      </c>
      <c r="L1116">
        <v>1.0000000000000001E-5</v>
      </c>
      <c r="M1116">
        <v>1.0000000000000001E-5</v>
      </c>
      <c r="Q1116">
        <v>1.41046495254876</v>
      </c>
      <c r="R1116">
        <v>-6.8214935922128503E-9</v>
      </c>
      <c r="S1116" t="s">
        <v>2990</v>
      </c>
      <c r="T1116" t="s">
        <v>3746</v>
      </c>
      <c r="U1116" t="s">
        <v>3746</v>
      </c>
      <c r="V1116" t="s">
        <v>3746</v>
      </c>
      <c r="W1116" t="s">
        <v>4850</v>
      </c>
      <c r="X1116">
        <v>19</v>
      </c>
      <c r="Y1116" t="s">
        <v>6646</v>
      </c>
      <c r="Z1116" t="s">
        <v>8504</v>
      </c>
      <c r="AA1116">
        <v>1.2052334832948719</v>
      </c>
      <c r="AB1116" t="str">
        <f>HYPERLINK("Melting_Curves/meltCurve_P29401_TKT.pdf", "Melting_Curves/meltCurve_P29401_TKT.pdf")</f>
        <v>Melting_Curves/meltCurve_P29401_TKT.pdf</v>
      </c>
    </row>
    <row r="1117" spans="1:28" x14ac:dyDescent="0.25">
      <c r="A1117" t="s">
        <v>1121</v>
      </c>
      <c r="B1117">
        <v>1</v>
      </c>
      <c r="C1117">
        <v>1.0035337671079201</v>
      </c>
      <c r="D1117">
        <v>1.4868184877720401</v>
      </c>
      <c r="E1117">
        <v>1.8878543115698201</v>
      </c>
      <c r="F1117">
        <v>1.37155037020417</v>
      </c>
      <c r="G1117">
        <v>1.6213633983995199</v>
      </c>
      <c r="H1117">
        <v>0.77454939795078903</v>
      </c>
      <c r="I1117">
        <v>1.4407673322862899</v>
      </c>
      <c r="J1117">
        <v>1.3093635479769601</v>
      </c>
      <c r="K1117">
        <v>1.2331912347617999</v>
      </c>
      <c r="L1117">
        <v>10926.0177153158</v>
      </c>
      <c r="M1117">
        <v>250</v>
      </c>
      <c r="O1117">
        <v>43.701274145407197</v>
      </c>
      <c r="P1117">
        <v>0.558739942304326</v>
      </c>
      <c r="Q1117">
        <v>1.3906823573662901</v>
      </c>
      <c r="R1117">
        <v>0.25064625214386699</v>
      </c>
      <c r="S1117" t="s">
        <v>2991</v>
      </c>
      <c r="T1117" t="s">
        <v>3746</v>
      </c>
      <c r="U1117" t="s">
        <v>3746</v>
      </c>
      <c r="V1117" t="s">
        <v>3746</v>
      </c>
      <c r="W1117" t="s">
        <v>4851</v>
      </c>
      <c r="X1117">
        <v>6</v>
      </c>
      <c r="Y1117" t="s">
        <v>6647</v>
      </c>
      <c r="Z1117" t="s">
        <v>8505</v>
      </c>
      <c r="AA1117">
        <v>1.3424152208456379</v>
      </c>
      <c r="AB1117" t="str">
        <f>HYPERLINK("Melting_Curves/meltCurve_P29622_SERPINA4.pdf", "Melting_Curves/meltCurve_P29622_SERPINA4.pdf")</f>
        <v>Melting_Curves/meltCurve_P29622_SERPINA4.pdf</v>
      </c>
    </row>
    <row r="1118" spans="1:28" x14ac:dyDescent="0.25">
      <c r="A1118" t="s">
        <v>1122</v>
      </c>
      <c r="B1118">
        <v>1</v>
      </c>
      <c r="C1118">
        <v>1.1281155739006199</v>
      </c>
      <c r="D1118">
        <v>1.8324072604117101</v>
      </c>
      <c r="E1118">
        <v>2.7074138752182901</v>
      </c>
      <c r="F1118">
        <v>1.8398158437847301</v>
      </c>
      <c r="G1118">
        <v>2.2079166005186002</v>
      </c>
      <c r="H1118">
        <v>1.91141451023972</v>
      </c>
      <c r="I1118">
        <v>2.8231994496480901</v>
      </c>
      <c r="J1118">
        <v>3.0469386675133601</v>
      </c>
      <c r="K1118">
        <v>2.8987140816002501</v>
      </c>
      <c r="S1118" t="s">
        <v>2992</v>
      </c>
      <c r="T1118" t="s">
        <v>3746</v>
      </c>
      <c r="U1118" t="s">
        <v>3747</v>
      </c>
      <c r="V1118" t="s">
        <v>3746</v>
      </c>
      <c r="W1118" t="s">
        <v>4852</v>
      </c>
      <c r="X1118">
        <v>6</v>
      </c>
      <c r="Y1118" t="s">
        <v>6648</v>
      </c>
      <c r="Z1118" t="s">
        <v>8506</v>
      </c>
      <c r="AB1118" t="str">
        <f>HYPERLINK("Melting_Curves/meltCurve_P29762_CRABP1.pdf", "Melting_Curves/meltCurve_P29762_CRABP1.pdf")</f>
        <v>Melting_Curves/meltCurve_P29762_CRABP1.pdf</v>
      </c>
    </row>
    <row r="1119" spans="1:28" x14ac:dyDescent="0.25">
      <c r="A1119" t="s">
        <v>1123</v>
      </c>
      <c r="B1119">
        <v>1</v>
      </c>
      <c r="C1119">
        <v>1.00190735390896</v>
      </c>
      <c r="D1119">
        <v>1.09971780085441</v>
      </c>
      <c r="E1119">
        <v>1.3326938306581999</v>
      </c>
      <c r="F1119">
        <v>0.82357534047940395</v>
      </c>
      <c r="G1119">
        <v>0.61764804301027298</v>
      </c>
      <c r="H1119">
        <v>0.54739941775512302</v>
      </c>
      <c r="I1119">
        <v>0.71790124145315803</v>
      </c>
      <c r="J1119">
        <v>0.87632315706111297</v>
      </c>
      <c r="K1119">
        <v>0.81271123107983001</v>
      </c>
      <c r="L1119">
        <v>13224.565512000199</v>
      </c>
      <c r="M1119">
        <v>250</v>
      </c>
      <c r="O1119">
        <v>52.894899577160999</v>
      </c>
      <c r="P1119">
        <v>-0.33746585992143002</v>
      </c>
      <c r="Q1119">
        <v>0.71439655756544296</v>
      </c>
      <c r="R1119">
        <v>0.60918422529233096</v>
      </c>
      <c r="S1119" t="s">
        <v>2993</v>
      </c>
      <c r="T1119" t="s">
        <v>3746</v>
      </c>
      <c r="U1119" t="s">
        <v>3746</v>
      </c>
      <c r="V1119" t="s">
        <v>3746</v>
      </c>
      <c r="W1119" t="s">
        <v>4853</v>
      </c>
      <c r="X1119">
        <v>11</v>
      </c>
      <c r="Y1119" t="s">
        <v>6649</v>
      </c>
      <c r="Z1119" t="s">
        <v>8507</v>
      </c>
      <c r="AA1119">
        <v>0.83721600648438621</v>
      </c>
      <c r="AB1119" t="str">
        <f>HYPERLINK("Melting_Curves/meltCurve_P29966_MARCKS.pdf", "Melting_Curves/meltCurve_P29966_MARCKS.pdf")</f>
        <v>Melting_Curves/meltCurve_P29966_MARCKS.pdf</v>
      </c>
    </row>
    <row r="1120" spans="1:28" x14ac:dyDescent="0.25">
      <c r="A1120" t="s">
        <v>1124</v>
      </c>
      <c r="B1120">
        <v>1</v>
      </c>
      <c r="C1120">
        <v>0.92475205118252501</v>
      </c>
      <c r="D1120">
        <v>1.2760028375249299</v>
      </c>
      <c r="E1120">
        <v>1.7341024988957701</v>
      </c>
      <c r="F1120">
        <v>1.18869540776036</v>
      </c>
      <c r="G1120">
        <v>1.4689545326783799</v>
      </c>
      <c r="H1120">
        <v>0.67292171375798004</v>
      </c>
      <c r="I1120">
        <v>1.26805241390387</v>
      </c>
      <c r="J1120">
        <v>1.3108829788657901</v>
      </c>
      <c r="K1120">
        <v>1.154872645992</v>
      </c>
      <c r="L1120">
        <v>11133.901620897699</v>
      </c>
      <c r="M1120">
        <v>250</v>
      </c>
      <c r="O1120">
        <v>44.5327565911997</v>
      </c>
      <c r="P1120">
        <v>0.36395759254843701</v>
      </c>
      <c r="Q1120">
        <v>1.25932855722163</v>
      </c>
      <c r="R1120">
        <v>0.17812863346264901</v>
      </c>
      <c r="S1120" t="s">
        <v>2994</v>
      </c>
      <c r="T1120" t="s">
        <v>3746</v>
      </c>
      <c r="U1120" t="s">
        <v>3746</v>
      </c>
      <c r="V1120" t="s">
        <v>3746</v>
      </c>
      <c r="W1120" t="s">
        <v>4854</v>
      </c>
      <c r="X1120">
        <v>5</v>
      </c>
      <c r="Y1120" t="s">
        <v>6650</v>
      </c>
      <c r="Z1120" t="s">
        <v>8508</v>
      </c>
      <c r="AA1120">
        <v>1.220101212100277</v>
      </c>
      <c r="AB1120" t="str">
        <f>HYPERLINK("Melting_Curves/meltCurve_P30040_ERP29.pdf", "Melting_Curves/meltCurve_P30040_ERP29.pdf")</f>
        <v>Melting_Curves/meltCurve_P30040_ERP29.pdf</v>
      </c>
    </row>
    <row r="1121" spans="1:28" x14ac:dyDescent="0.25">
      <c r="A1121" t="s">
        <v>1125</v>
      </c>
      <c r="B1121">
        <v>1</v>
      </c>
      <c r="C1121">
        <v>1.1254027261462201</v>
      </c>
      <c r="D1121">
        <v>1.81296984717059</v>
      </c>
      <c r="E1121">
        <v>2.84915324246179</v>
      </c>
      <c r="F1121">
        <v>2.4460966542750899</v>
      </c>
      <c r="G1121">
        <v>3.24204874019</v>
      </c>
      <c r="H1121">
        <v>1.9101197852127201</v>
      </c>
      <c r="I1121">
        <v>2.9792647666253602</v>
      </c>
      <c r="J1121">
        <v>3.0461792647666299</v>
      </c>
      <c r="K1121">
        <v>2.8234613795952099</v>
      </c>
      <c r="L1121">
        <v>10771.9463039278</v>
      </c>
      <c r="M1121">
        <v>250</v>
      </c>
      <c r="O1121">
        <v>43.085027981247002</v>
      </c>
      <c r="P1121">
        <v>0.72530996431766004</v>
      </c>
      <c r="Q1121">
        <v>1.5</v>
      </c>
      <c r="R1121">
        <v>-1.07299580151848</v>
      </c>
      <c r="S1121" t="s">
        <v>2995</v>
      </c>
      <c r="T1121" t="s">
        <v>3746</v>
      </c>
      <c r="U1121" t="s">
        <v>3746</v>
      </c>
      <c r="V1121" t="s">
        <v>3746</v>
      </c>
      <c r="W1121" t="s">
        <v>4855</v>
      </c>
      <c r="X1121">
        <v>10</v>
      </c>
      <c r="Y1121" t="s">
        <v>6651</v>
      </c>
      <c r="Z1121" t="s">
        <v>8509</v>
      </c>
      <c r="AA1121">
        <v>1.448499103865037</v>
      </c>
      <c r="AB1121" t="str">
        <f>HYPERLINK("Melting_Curves/meltCurve_P30041_PRDX6.pdf", "Melting_Curves/meltCurve_P30041_PRDX6.pdf")</f>
        <v>Melting_Curves/meltCurve_P30041_PRDX6.pdf</v>
      </c>
    </row>
    <row r="1122" spans="1:28" x14ac:dyDescent="0.25">
      <c r="A1122" t="s">
        <v>1126</v>
      </c>
      <c r="B1122">
        <v>1</v>
      </c>
      <c r="C1122">
        <v>0.86127521685009201</v>
      </c>
      <c r="D1122">
        <v>1.27154175969651</v>
      </c>
      <c r="E1122">
        <v>1.77811147774199</v>
      </c>
      <c r="F1122">
        <v>1.4187824781174101</v>
      </c>
      <c r="G1122">
        <v>1.80978443421391</v>
      </c>
      <c r="H1122">
        <v>0.942937306119223</v>
      </c>
      <c r="I1122">
        <v>1.8419513544486401</v>
      </c>
      <c r="J1122">
        <v>1.95246092746636</v>
      </c>
      <c r="K1122">
        <v>1.9845488134990401</v>
      </c>
      <c r="L1122">
        <v>11492.052928142801</v>
      </c>
      <c r="M1122">
        <v>250</v>
      </c>
      <c r="O1122">
        <v>45.965270137974898</v>
      </c>
      <c r="P1122">
        <v>0.67986112126237996</v>
      </c>
      <c r="Q1122">
        <v>1.5</v>
      </c>
      <c r="R1122">
        <v>0.39261132963900103</v>
      </c>
      <c r="S1122" t="s">
        <v>2996</v>
      </c>
      <c r="T1122" t="s">
        <v>3746</v>
      </c>
      <c r="U1122" t="s">
        <v>3746</v>
      </c>
      <c r="V1122" t="s">
        <v>3746</v>
      </c>
      <c r="W1122" t="s">
        <v>4856</v>
      </c>
      <c r="X1122">
        <v>3</v>
      </c>
      <c r="Y1122" t="s">
        <v>6652</v>
      </c>
      <c r="Z1122" t="s">
        <v>8510</v>
      </c>
      <c r="AA1122">
        <v>1.400489468042414</v>
      </c>
      <c r="AB1122" t="str">
        <f>HYPERLINK("Melting_Curves/meltCurve_P30043_BLVRB.pdf", "Melting_Curves/meltCurve_P30043_BLVRB.pdf")</f>
        <v>Melting_Curves/meltCurve_P30043_BLVRB.pdf</v>
      </c>
    </row>
    <row r="1123" spans="1:28" x14ac:dyDescent="0.25">
      <c r="A1123" t="s">
        <v>1127</v>
      </c>
      <c r="B1123">
        <v>1</v>
      </c>
      <c r="C1123">
        <v>1.1383145931568099</v>
      </c>
      <c r="D1123">
        <v>1.70348204570185</v>
      </c>
      <c r="E1123">
        <v>2.1954419054527898</v>
      </c>
      <c r="F1123">
        <v>1.99830733889493</v>
      </c>
      <c r="G1123">
        <v>2.6080280498125998</v>
      </c>
      <c r="H1123">
        <v>1.39009793253536</v>
      </c>
      <c r="I1123">
        <v>2.1966509490992601</v>
      </c>
      <c r="J1123">
        <v>2.2373957199854901</v>
      </c>
      <c r="K1123">
        <v>2.014750332487</v>
      </c>
      <c r="L1123">
        <v>10766.2373340947</v>
      </c>
      <c r="M1123">
        <v>250</v>
      </c>
      <c r="O1123">
        <v>43.062193703528898</v>
      </c>
      <c r="P1123">
        <v>0.72569457154620798</v>
      </c>
      <c r="Q1123">
        <v>1.5</v>
      </c>
      <c r="R1123">
        <v>-0.336103196490253</v>
      </c>
      <c r="S1123" t="s">
        <v>2997</v>
      </c>
      <c r="T1123" t="s">
        <v>3746</v>
      </c>
      <c r="U1123" t="s">
        <v>3746</v>
      </c>
      <c r="V1123" t="s">
        <v>3746</v>
      </c>
      <c r="W1123" t="s">
        <v>4857</v>
      </c>
      <c r="X1123">
        <v>8</v>
      </c>
      <c r="Y1123" t="s">
        <v>6653</v>
      </c>
      <c r="Z1123" t="s">
        <v>8511</v>
      </c>
      <c r="AA1123">
        <v>1.4488797218906431</v>
      </c>
      <c r="AB1123" t="str">
        <f>HYPERLINK("Melting_Curves/meltCurve_P30044_PRDX5.pdf", "Melting_Curves/meltCurve_P30044_PRDX5.pdf")</f>
        <v>Melting_Curves/meltCurve_P30044_PRDX5.pdf</v>
      </c>
    </row>
    <row r="1124" spans="1:28" x14ac:dyDescent="0.25">
      <c r="A1124" t="s">
        <v>1128</v>
      </c>
      <c r="B1124">
        <v>1</v>
      </c>
      <c r="C1124">
        <v>1.0264492859865699</v>
      </c>
      <c r="D1124">
        <v>1.5276661877254201</v>
      </c>
      <c r="E1124">
        <v>1.80640999325573</v>
      </c>
      <c r="F1124">
        <v>1.37043661847931</v>
      </c>
      <c r="G1124">
        <v>1.8094009324692799</v>
      </c>
      <c r="H1124">
        <v>1.33686185966044</v>
      </c>
      <c r="I1124">
        <v>2.00395859601795</v>
      </c>
      <c r="J1124">
        <v>1.9737852974811601</v>
      </c>
      <c r="K1124">
        <v>1.7262997390258901</v>
      </c>
      <c r="L1124">
        <v>10848.767154860599</v>
      </c>
      <c r="M1124">
        <v>250</v>
      </c>
      <c r="O1124">
        <v>43.392291682883503</v>
      </c>
      <c r="P1124">
        <v>0.72017399560774298</v>
      </c>
      <c r="Q1124">
        <v>1.5</v>
      </c>
      <c r="R1124">
        <v>0.36586234592653399</v>
      </c>
      <c r="S1124" t="s">
        <v>2998</v>
      </c>
      <c r="T1124" t="s">
        <v>3746</v>
      </c>
      <c r="U1124" t="s">
        <v>3746</v>
      </c>
      <c r="V1124" t="s">
        <v>3746</v>
      </c>
      <c r="W1124" t="s">
        <v>4858</v>
      </c>
      <c r="X1124">
        <v>6</v>
      </c>
      <c r="Y1124" t="s">
        <v>6654</v>
      </c>
      <c r="Z1124" t="s">
        <v>8512</v>
      </c>
      <c r="AA1124">
        <v>1.4433774441727929</v>
      </c>
      <c r="AB1124" t="str">
        <f>HYPERLINK("Melting_Curves/meltCurve_P30050_RPL12.pdf", "Melting_Curves/meltCurve_P30050_RPL12.pdf")</f>
        <v>Melting_Curves/meltCurve_P30050_RPL12.pdf</v>
      </c>
    </row>
    <row r="1125" spans="1:28" x14ac:dyDescent="0.25">
      <c r="A1125" t="s">
        <v>1129</v>
      </c>
      <c r="B1125">
        <v>1</v>
      </c>
      <c r="C1125">
        <v>1.0728348949101001</v>
      </c>
      <c r="D1125">
        <v>2.0031970119017499</v>
      </c>
      <c r="E1125">
        <v>2.9577108128640202</v>
      </c>
      <c r="F1125">
        <v>2.16947328437579</v>
      </c>
      <c r="G1125">
        <v>2.72920359584705</v>
      </c>
      <c r="H1125">
        <v>1.40370979994935</v>
      </c>
      <c r="I1125">
        <v>2.3669283362876699</v>
      </c>
      <c r="J1125">
        <v>2.2661433274246598</v>
      </c>
      <c r="K1125">
        <v>2.0634654342871599</v>
      </c>
      <c r="L1125">
        <v>10800.8883938257</v>
      </c>
      <c r="M1125">
        <v>250</v>
      </c>
      <c r="O1125">
        <v>43.200813451355799</v>
      </c>
      <c r="P1125">
        <v>0.72336641809791602</v>
      </c>
      <c r="Q1125">
        <v>1.5</v>
      </c>
      <c r="R1125">
        <v>-0.53822655005888997</v>
      </c>
      <c r="S1125" t="s">
        <v>2999</v>
      </c>
      <c r="T1125" t="s">
        <v>3746</v>
      </c>
      <c r="U1125" t="s">
        <v>3746</v>
      </c>
      <c r="V1125" t="s">
        <v>3746</v>
      </c>
      <c r="W1125" t="s">
        <v>4859</v>
      </c>
      <c r="X1125">
        <v>8</v>
      </c>
      <c r="Y1125" t="s">
        <v>6655</v>
      </c>
      <c r="Z1125" t="s">
        <v>8513</v>
      </c>
      <c r="AA1125">
        <v>1.446569529624615</v>
      </c>
      <c r="AB1125" t="str">
        <f>HYPERLINK("Melting_Curves/meltCurve_P30086_PEBP1.pdf", "Melting_Curves/meltCurve_P30086_PEBP1.pdf")</f>
        <v>Melting_Curves/meltCurve_P30086_PEBP1.pdf</v>
      </c>
    </row>
    <row r="1126" spans="1:28" x14ac:dyDescent="0.25">
      <c r="A1126" t="s">
        <v>1130</v>
      </c>
      <c r="B1126">
        <v>1</v>
      </c>
      <c r="C1126">
        <v>1.0194315745799001</v>
      </c>
      <c r="D1126">
        <v>1.07689648018809</v>
      </c>
      <c r="E1126">
        <v>1.09210981259941</v>
      </c>
      <c r="F1126">
        <v>1.1285526588756001</v>
      </c>
      <c r="G1126">
        <v>1.0322246041076</v>
      </c>
      <c r="H1126">
        <v>0.87739437106700802</v>
      </c>
      <c r="I1126">
        <v>1.37217343198949</v>
      </c>
      <c r="J1126">
        <v>1.5386902703824099</v>
      </c>
      <c r="K1126">
        <v>1.2575202268169601</v>
      </c>
      <c r="L1126">
        <v>15000</v>
      </c>
      <c r="M1126">
        <v>237.02317963697001</v>
      </c>
      <c r="O1126">
        <v>63.280444397594799</v>
      </c>
      <c r="P1126">
        <v>0.37289701737530201</v>
      </c>
      <c r="Q1126">
        <v>1.3982241560651201</v>
      </c>
      <c r="R1126">
        <v>0.75009609901213203</v>
      </c>
      <c r="S1126" t="s">
        <v>3000</v>
      </c>
      <c r="T1126" t="s">
        <v>3746</v>
      </c>
      <c r="U1126" t="s">
        <v>3746</v>
      </c>
      <c r="V1126" t="s">
        <v>3746</v>
      </c>
      <c r="W1126" t="s">
        <v>4860</v>
      </c>
      <c r="X1126">
        <v>1</v>
      </c>
      <c r="Y1126" t="s">
        <v>6656</v>
      </c>
      <c r="Z1126" t="s">
        <v>8514</v>
      </c>
      <c r="AA1126">
        <v>1.089087302872167</v>
      </c>
      <c r="AB1126" t="str">
        <f>HYPERLINK("Melting_Curves/meltCurve_P30419_2_NMT1.pdf", "Melting_Curves/meltCurve_P30419_2_NMT1.pdf")</f>
        <v>Melting_Curves/meltCurve_P30419_2_NMT1.pdf</v>
      </c>
    </row>
    <row r="1127" spans="1:28" x14ac:dyDescent="0.25">
      <c r="A1127" t="s">
        <v>1131</v>
      </c>
      <c r="B1127">
        <v>1</v>
      </c>
      <c r="C1127">
        <v>0.98817798975087501</v>
      </c>
      <c r="D1127">
        <v>1.3126321308370099</v>
      </c>
      <c r="E1127">
        <v>1.6116833257226</v>
      </c>
      <c r="F1127">
        <v>1.0539178378744101</v>
      </c>
      <c r="G1127">
        <v>1.17673820758706</v>
      </c>
      <c r="H1127">
        <v>0.64369915605391803</v>
      </c>
      <c r="I1127">
        <v>1.0420281766367301</v>
      </c>
      <c r="J1127">
        <v>1.0426201227865399</v>
      </c>
      <c r="K1127">
        <v>0.93559625890033304</v>
      </c>
      <c r="L1127">
        <v>11036.478566915101</v>
      </c>
      <c r="M1127">
        <v>250</v>
      </c>
      <c r="O1127">
        <v>44.143088937062302</v>
      </c>
      <c r="P1127">
        <v>0.144930373926975</v>
      </c>
      <c r="Q1127">
        <v>1.10236279071578</v>
      </c>
      <c r="R1127">
        <v>3.2453828581128698E-2</v>
      </c>
      <c r="S1127" t="s">
        <v>3001</v>
      </c>
      <c r="T1127" t="s">
        <v>3746</v>
      </c>
      <c r="U1127" t="s">
        <v>3746</v>
      </c>
      <c r="V1127" t="s">
        <v>3746</v>
      </c>
      <c r="W1127" t="s">
        <v>4861</v>
      </c>
      <c r="X1127">
        <v>11</v>
      </c>
      <c r="Y1127" t="s">
        <v>6657</v>
      </c>
      <c r="Z1127" t="s">
        <v>8515</v>
      </c>
      <c r="AA1127">
        <v>1.0882086149681871</v>
      </c>
      <c r="AB1127" t="str">
        <f>HYPERLINK("Melting_Curves/meltCurve_P30455_HLA_A.pdf", "Melting_Curves/meltCurve_P30455_HLA_A.pdf")</f>
        <v>Melting_Curves/meltCurve_P30455_HLA_A.pdf</v>
      </c>
    </row>
    <row r="1128" spans="1:28" x14ac:dyDescent="0.25">
      <c r="A1128" t="s">
        <v>1132</v>
      </c>
      <c r="B1128">
        <v>1</v>
      </c>
      <c r="C1128">
        <v>1.07448577680525</v>
      </c>
      <c r="D1128">
        <v>1.54757111597374</v>
      </c>
      <c r="E1128">
        <v>2.2487964989059099</v>
      </c>
      <c r="F1128">
        <v>2.03054704595186</v>
      </c>
      <c r="G1128">
        <v>2.5145733041575502</v>
      </c>
      <c r="H1128">
        <v>1.6363238512035001</v>
      </c>
      <c r="I1128">
        <v>3.0538293216630201</v>
      </c>
      <c r="J1128">
        <v>3.30792122538293</v>
      </c>
      <c r="K1128">
        <v>3.0036323851203499</v>
      </c>
      <c r="L1128">
        <v>10799.761352443</v>
      </c>
      <c r="M1128">
        <v>250</v>
      </c>
      <c r="O1128">
        <v>43.196280974283397</v>
      </c>
      <c r="P1128">
        <v>0.72344191083137199</v>
      </c>
      <c r="Q1128">
        <v>1.5</v>
      </c>
      <c r="R1128">
        <v>-0.59974065908414997</v>
      </c>
      <c r="S1128" t="s">
        <v>3002</v>
      </c>
      <c r="T1128" t="s">
        <v>3746</v>
      </c>
      <c r="U1128" t="s">
        <v>3746</v>
      </c>
      <c r="V1128" t="s">
        <v>3746</v>
      </c>
      <c r="W1128" t="s">
        <v>4862</v>
      </c>
      <c r="X1128">
        <v>2</v>
      </c>
      <c r="Y1128" t="s">
        <v>6658</v>
      </c>
      <c r="Z1128" t="s">
        <v>8516</v>
      </c>
      <c r="AA1128">
        <v>1.4466446696725339</v>
      </c>
      <c r="AB1128" t="str">
        <f>HYPERLINK("Melting_Curves/meltCurve_P30520_ADSS.pdf", "Melting_Curves/meltCurve_P30520_ADSS.pdf")</f>
        <v>Melting_Curves/meltCurve_P30520_ADSS.pdf</v>
      </c>
    </row>
    <row r="1129" spans="1:28" x14ac:dyDescent="0.25">
      <c r="A1129" t="s">
        <v>1133</v>
      </c>
      <c r="B1129">
        <v>1</v>
      </c>
      <c r="C1129">
        <v>1.1437983328311701</v>
      </c>
      <c r="D1129">
        <v>1.3830471025409301</v>
      </c>
      <c r="E1129">
        <v>1.6161695289745901</v>
      </c>
      <c r="F1129">
        <v>1.23105353017977</v>
      </c>
      <c r="G1129">
        <v>1.5370493120417801</v>
      </c>
      <c r="H1129">
        <v>0.93180676910716098</v>
      </c>
      <c r="I1129">
        <v>1.28564828763684</v>
      </c>
      <c r="J1129">
        <v>1.11897157778447</v>
      </c>
      <c r="K1129">
        <v>1.2865521743496999</v>
      </c>
      <c r="L1129">
        <v>10728.2150023428</v>
      </c>
      <c r="M1129">
        <v>250</v>
      </c>
      <c r="O1129">
        <v>42.910113881687003</v>
      </c>
      <c r="P1129">
        <v>0.43519356471526999</v>
      </c>
      <c r="Q1129">
        <v>1.2987872863352801</v>
      </c>
      <c r="R1129">
        <v>0.21598141300617099</v>
      </c>
      <c r="S1129" t="s">
        <v>3003</v>
      </c>
      <c r="T1129" t="s">
        <v>3746</v>
      </c>
      <c r="U1129" t="s">
        <v>3746</v>
      </c>
      <c r="V1129" t="s">
        <v>3746</v>
      </c>
      <c r="W1129" t="s">
        <v>4863</v>
      </c>
      <c r="X1129">
        <v>3</v>
      </c>
      <c r="Y1129" t="s">
        <v>6659</v>
      </c>
      <c r="Z1129" t="s">
        <v>8517</v>
      </c>
      <c r="AA1129">
        <v>1.269753932971907</v>
      </c>
      <c r="AB1129" t="str">
        <f>HYPERLINK("Melting_Curves/meltCurve_P30533_LRPAP1.pdf", "Melting_Curves/meltCurve_P30533_LRPAP1.pdf")</f>
        <v>Melting_Curves/meltCurve_P30533_LRPAP1.pdf</v>
      </c>
    </row>
    <row r="1130" spans="1:28" x14ac:dyDescent="0.25">
      <c r="A1130" t="s">
        <v>1134</v>
      </c>
      <c r="B1130">
        <v>1</v>
      </c>
      <c r="C1130">
        <v>1.0590051939544201</v>
      </c>
      <c r="D1130">
        <v>1.48542417294464</v>
      </c>
      <c r="E1130">
        <v>1.78550371999438</v>
      </c>
      <c r="F1130">
        <v>1.41495484535118</v>
      </c>
      <c r="G1130">
        <v>2.1913808431987301</v>
      </c>
      <c r="H1130">
        <v>1.18033784099949</v>
      </c>
      <c r="I1130">
        <v>1.9218567217257001</v>
      </c>
      <c r="J1130">
        <v>1.7735248701511399</v>
      </c>
      <c r="K1130">
        <v>1.7084834588928901</v>
      </c>
      <c r="L1130">
        <v>3573.4859415989899</v>
      </c>
      <c r="M1130">
        <v>81.283434229659207</v>
      </c>
      <c r="O1130">
        <v>43.936688724774498</v>
      </c>
      <c r="P1130">
        <v>0.231251639907879</v>
      </c>
      <c r="Q1130">
        <v>1.5</v>
      </c>
      <c r="R1130">
        <v>0.30198762733490703</v>
      </c>
      <c r="S1130" t="s">
        <v>3004</v>
      </c>
      <c r="T1130" t="s">
        <v>3746</v>
      </c>
      <c r="U1130" t="s">
        <v>3746</v>
      </c>
      <c r="V1130" t="s">
        <v>3746</v>
      </c>
      <c r="W1130" t="s">
        <v>4864</v>
      </c>
      <c r="X1130">
        <v>6</v>
      </c>
      <c r="Y1130" t="s">
        <v>6660</v>
      </c>
      <c r="Z1130" t="s">
        <v>8518</v>
      </c>
      <c r="AA1130">
        <v>1.4335774865663371</v>
      </c>
      <c r="AB1130" t="str">
        <f>HYPERLINK("Melting_Curves/meltCurve_P30740_SERPINB1.pdf", "Melting_Curves/meltCurve_P30740_SERPINB1.pdf")</f>
        <v>Melting_Curves/meltCurve_P30740_SERPINB1.pdf</v>
      </c>
    </row>
    <row r="1131" spans="1:28" x14ac:dyDescent="0.25">
      <c r="A1131" t="s">
        <v>1135</v>
      </c>
      <c r="B1131">
        <v>1</v>
      </c>
      <c r="C1131">
        <v>1.06727779348221</v>
      </c>
      <c r="D1131">
        <v>1.26483059403142</v>
      </c>
      <c r="E1131">
        <v>1.5836799526174801</v>
      </c>
      <c r="F1131">
        <v>1.1886551171775099</v>
      </c>
      <c r="G1131">
        <v>1.56052713053077</v>
      </c>
      <c r="H1131">
        <v>1.1314730310005501</v>
      </c>
      <c r="I1131">
        <v>2.3858175503775798</v>
      </c>
      <c r="J1131">
        <v>3.2411258732786798</v>
      </c>
      <c r="K1131">
        <v>3.1639946694665402</v>
      </c>
      <c r="L1131">
        <v>1476.64109869147</v>
      </c>
      <c r="M1131">
        <v>32.345821182786402</v>
      </c>
      <c r="O1131">
        <v>45.478253647849201</v>
      </c>
      <c r="P1131">
        <v>8.8905072685788802E-2</v>
      </c>
      <c r="Q1131">
        <v>1.5</v>
      </c>
      <c r="R1131">
        <v>-2.6994268223597299E-2</v>
      </c>
      <c r="S1131" t="s">
        <v>3005</v>
      </c>
      <c r="T1131" t="s">
        <v>3746</v>
      </c>
      <c r="U1131" t="s">
        <v>3746</v>
      </c>
      <c r="V1131" t="s">
        <v>3746</v>
      </c>
      <c r="W1131" t="s">
        <v>4865</v>
      </c>
      <c r="X1131">
        <v>1</v>
      </c>
      <c r="Y1131" t="s">
        <v>6661</v>
      </c>
      <c r="Z1131" t="s">
        <v>8519</v>
      </c>
      <c r="AA1131">
        <v>1.403204358018685</v>
      </c>
      <c r="AB1131" t="str">
        <f>HYPERLINK("Melting_Curves/meltCurve_P31146_CORO1A.pdf", "Melting_Curves/meltCurve_P31146_CORO1A.pdf")</f>
        <v>Melting_Curves/meltCurve_P31146_CORO1A.pdf</v>
      </c>
    </row>
    <row r="1132" spans="1:28" x14ac:dyDescent="0.25">
      <c r="A1132" t="s">
        <v>1136</v>
      </c>
      <c r="B1132">
        <v>1</v>
      </c>
      <c r="C1132">
        <v>0.99717707442258297</v>
      </c>
      <c r="D1132">
        <v>1.5278015397775899</v>
      </c>
      <c r="E1132">
        <v>2.3966638152266899</v>
      </c>
      <c r="F1132">
        <v>1.9485885372112901</v>
      </c>
      <c r="G1132">
        <v>2.55440547476476</v>
      </c>
      <c r="H1132">
        <v>1.6925577416595401</v>
      </c>
      <c r="I1132">
        <v>3.7201881950384901</v>
      </c>
      <c r="J1132">
        <v>3.9806672369546598</v>
      </c>
      <c r="K1132">
        <v>3.5391787852865702</v>
      </c>
      <c r="L1132">
        <v>11051.4957286793</v>
      </c>
      <c r="M1132">
        <v>250</v>
      </c>
      <c r="O1132">
        <v>44.203158389358798</v>
      </c>
      <c r="P1132">
        <v>0.70696312788443605</v>
      </c>
      <c r="Q1132">
        <v>1.5</v>
      </c>
      <c r="R1132">
        <v>-0.59384041698101098</v>
      </c>
      <c r="S1132" t="s">
        <v>3006</v>
      </c>
      <c r="T1132" t="s">
        <v>3746</v>
      </c>
      <c r="U1132" t="s">
        <v>3746</v>
      </c>
      <c r="V1132" t="s">
        <v>3746</v>
      </c>
      <c r="W1132" t="s">
        <v>4866</v>
      </c>
      <c r="X1132">
        <v>11</v>
      </c>
      <c r="Y1132" t="s">
        <v>6662</v>
      </c>
      <c r="Z1132" t="s">
        <v>8520</v>
      </c>
      <c r="AA1132">
        <v>1.429861494348861</v>
      </c>
      <c r="AB1132" t="str">
        <f>HYPERLINK("Melting_Curves/meltCurve_P31150_GDI1.pdf", "Melting_Curves/meltCurve_P31150_GDI1.pdf")</f>
        <v>Melting_Curves/meltCurve_P31150_GDI1.pdf</v>
      </c>
    </row>
    <row r="1133" spans="1:28" x14ac:dyDescent="0.25">
      <c r="A1133" t="s">
        <v>1137</v>
      </c>
      <c r="B1133">
        <v>1</v>
      </c>
      <c r="C1133">
        <v>0.78844463733521397</v>
      </c>
      <c r="D1133">
        <v>0.95256333749254096</v>
      </c>
      <c r="E1133">
        <v>1.40649921336733</v>
      </c>
      <c r="F1133">
        <v>1.0456029946292</v>
      </c>
      <c r="G1133">
        <v>1.3806759615906301</v>
      </c>
      <c r="H1133">
        <v>0.94347094884175098</v>
      </c>
      <c r="I1133">
        <v>1.4736613681983399</v>
      </c>
      <c r="J1133">
        <v>1.4366625074594499</v>
      </c>
      <c r="K1133">
        <v>1.2702218846633799</v>
      </c>
      <c r="L1133">
        <v>11957.7503281195</v>
      </c>
      <c r="M1133">
        <v>250</v>
      </c>
      <c r="O1133">
        <v>47.827940700010203</v>
      </c>
      <c r="P1133">
        <v>0.36529670881585402</v>
      </c>
      <c r="Q1133">
        <v>1.2795422274202399</v>
      </c>
      <c r="R1133">
        <v>0.460219725181088</v>
      </c>
      <c r="S1133" t="s">
        <v>3007</v>
      </c>
      <c r="T1133" t="s">
        <v>3746</v>
      </c>
      <c r="U1133" t="s">
        <v>3746</v>
      </c>
      <c r="V1133" t="s">
        <v>3746</v>
      </c>
      <c r="W1133" t="s">
        <v>4867</v>
      </c>
      <c r="X1133">
        <v>3</v>
      </c>
      <c r="Y1133" t="s">
        <v>6663</v>
      </c>
      <c r="Z1133" t="s">
        <v>8521</v>
      </c>
      <c r="AA1133">
        <v>1.2065489102405831</v>
      </c>
      <c r="AB1133" t="str">
        <f>HYPERLINK("Melting_Curves/meltCurve_P31323_PRKAR2B.pdf", "Melting_Curves/meltCurve_P31323_PRKAR2B.pdf")</f>
        <v>Melting_Curves/meltCurve_P31323_PRKAR2B.pdf</v>
      </c>
    </row>
    <row r="1134" spans="1:28" x14ac:dyDescent="0.25">
      <c r="A1134" t="s">
        <v>1138</v>
      </c>
      <c r="B1134">
        <v>1</v>
      </c>
      <c r="C1134">
        <v>0.957032948337461</v>
      </c>
      <c r="D1134">
        <v>1.56486644864936</v>
      </c>
      <c r="E1134">
        <v>3.0500368613069702</v>
      </c>
      <c r="F1134">
        <v>2.2751932855711599</v>
      </c>
      <c r="G1134">
        <v>2.1950435719551602</v>
      </c>
      <c r="H1134">
        <v>1.6253378953138899</v>
      </c>
      <c r="I1134">
        <v>2.2906939377327502</v>
      </c>
      <c r="J1134">
        <v>2.4150772197122898</v>
      </c>
      <c r="K1134">
        <v>2.1033628853896902</v>
      </c>
      <c r="L1134">
        <v>11091.3666519624</v>
      </c>
      <c r="M1134">
        <v>250</v>
      </c>
      <c r="O1134">
        <v>44.362618999663503</v>
      </c>
      <c r="P1134">
        <v>0.70442175702912002</v>
      </c>
      <c r="Q1134">
        <v>1.5</v>
      </c>
      <c r="R1134">
        <v>-0.377158470325477</v>
      </c>
      <c r="S1134" t="s">
        <v>3008</v>
      </c>
      <c r="T1134" t="s">
        <v>3746</v>
      </c>
      <c r="U1134" t="s">
        <v>3746</v>
      </c>
      <c r="V1134" t="s">
        <v>3746</v>
      </c>
      <c r="W1134" t="s">
        <v>4868</v>
      </c>
      <c r="X1134">
        <v>6</v>
      </c>
      <c r="Y1134" t="s">
        <v>6664</v>
      </c>
      <c r="Z1134" t="s">
        <v>8522</v>
      </c>
      <c r="AA1134">
        <v>1.4272032928507949</v>
      </c>
      <c r="AB1134" t="str">
        <f>HYPERLINK("Melting_Curves/meltCurve_P31431_2_SDC4.pdf", "Melting_Curves/meltCurve_P31431_2_SDC4.pdf")</f>
        <v>Melting_Curves/meltCurve_P31431_2_SDC4.pdf</v>
      </c>
    </row>
    <row r="1135" spans="1:28" x14ac:dyDescent="0.25">
      <c r="A1135" t="s">
        <v>1139</v>
      </c>
      <c r="B1135">
        <v>1</v>
      </c>
      <c r="C1135">
        <v>1.08987943003288</v>
      </c>
      <c r="D1135">
        <v>1.93427109974425</v>
      </c>
      <c r="E1135">
        <v>2.2354402630617498</v>
      </c>
      <c r="F1135">
        <v>1.8903909389842899</v>
      </c>
      <c r="G1135">
        <v>2.7258677383997099</v>
      </c>
      <c r="H1135">
        <v>2.8323346729996302</v>
      </c>
      <c r="I1135">
        <v>4.1421264157837001</v>
      </c>
      <c r="J1135">
        <v>4.7508220679576203</v>
      </c>
      <c r="K1135">
        <v>3.93533065400073</v>
      </c>
      <c r="L1135">
        <v>10790.1211139768</v>
      </c>
      <c r="M1135">
        <v>250</v>
      </c>
      <c r="O1135">
        <v>43.157722487060603</v>
      </c>
      <c r="P1135">
        <v>0.72408825691619705</v>
      </c>
      <c r="Q1135">
        <v>1.5</v>
      </c>
      <c r="R1135">
        <v>-0.87404448185543904</v>
      </c>
      <c r="S1135" t="s">
        <v>3009</v>
      </c>
      <c r="T1135" t="s">
        <v>3746</v>
      </c>
      <c r="U1135" t="s">
        <v>3746</v>
      </c>
      <c r="V1135" t="s">
        <v>3746</v>
      </c>
      <c r="W1135" t="s">
        <v>4869</v>
      </c>
      <c r="X1135">
        <v>2</v>
      </c>
      <c r="Y1135" t="s">
        <v>6665</v>
      </c>
      <c r="Z1135" t="s">
        <v>8523</v>
      </c>
      <c r="AA1135">
        <v>1.4472873860724931</v>
      </c>
      <c r="AB1135" t="str">
        <f>HYPERLINK("Melting_Curves/meltCurve_P31937_HIBADH.pdf", "Melting_Curves/meltCurve_P31937_HIBADH.pdf")</f>
        <v>Melting_Curves/meltCurve_P31937_HIBADH.pdf</v>
      </c>
    </row>
    <row r="1136" spans="1:28" x14ac:dyDescent="0.25">
      <c r="A1136" t="s">
        <v>1140</v>
      </c>
      <c r="B1136">
        <v>1</v>
      </c>
      <c r="C1136">
        <v>1.10638806922402</v>
      </c>
      <c r="D1136">
        <v>1.15703006619348</v>
      </c>
      <c r="E1136">
        <v>1.5984528271792</v>
      </c>
      <c r="F1136">
        <v>1.00446606587447</v>
      </c>
      <c r="G1136">
        <v>1.22378180078156</v>
      </c>
      <c r="H1136">
        <v>1.03493101523247</v>
      </c>
      <c r="I1136">
        <v>1.14395087327538</v>
      </c>
      <c r="J1136">
        <v>1.1579073291330999</v>
      </c>
      <c r="K1136">
        <v>1.34093627881011</v>
      </c>
      <c r="L1136">
        <v>1834.3437570819301</v>
      </c>
      <c r="M1136">
        <v>42.663399156626703</v>
      </c>
      <c r="O1136">
        <v>42.901587068907901</v>
      </c>
      <c r="P1136">
        <v>5.21601175408372E-2</v>
      </c>
      <c r="Q1136">
        <v>1.20980493836342</v>
      </c>
      <c r="R1136">
        <v>0.15078101357330301</v>
      </c>
      <c r="S1136" t="s">
        <v>3010</v>
      </c>
      <c r="T1136" t="s">
        <v>3746</v>
      </c>
      <c r="U1136" t="s">
        <v>3746</v>
      </c>
      <c r="V1136" t="s">
        <v>3746</v>
      </c>
      <c r="W1136" t="s">
        <v>4870</v>
      </c>
      <c r="X1136">
        <v>4</v>
      </c>
      <c r="Y1136" t="s">
        <v>6666</v>
      </c>
      <c r="Z1136" t="s">
        <v>8524</v>
      </c>
      <c r="AA1136">
        <v>1.1880719285509309</v>
      </c>
      <c r="AB1136" t="str">
        <f>HYPERLINK("Melting_Curves/meltCurve_P31944_CASP14.pdf", "Melting_Curves/meltCurve_P31944_CASP14.pdf")</f>
        <v>Melting_Curves/meltCurve_P31944_CASP14.pdf</v>
      </c>
    </row>
    <row r="1137" spans="1:28" x14ac:dyDescent="0.25">
      <c r="A1137" t="s">
        <v>1141</v>
      </c>
      <c r="B1137">
        <v>1</v>
      </c>
      <c r="C1137">
        <v>0.99144503994337096</v>
      </c>
      <c r="D1137">
        <v>1.77702497724745</v>
      </c>
      <c r="E1137">
        <v>2.61866720598645</v>
      </c>
      <c r="F1137">
        <v>1.77247446657903</v>
      </c>
      <c r="G1137">
        <v>1.9721306502174101</v>
      </c>
      <c r="H1137">
        <v>1.57908787541713</v>
      </c>
      <c r="I1137">
        <v>2.2627161492567498</v>
      </c>
      <c r="J1137">
        <v>2.4696127009808899</v>
      </c>
      <c r="K1137">
        <v>2.3043786024876098</v>
      </c>
      <c r="L1137">
        <v>1.0000000000000001E-5</v>
      </c>
      <c r="M1137">
        <v>25.295751404254201</v>
      </c>
      <c r="Q1137">
        <v>1.5</v>
      </c>
      <c r="R1137">
        <v>-0.48349398631165103</v>
      </c>
      <c r="S1137" t="s">
        <v>3011</v>
      </c>
      <c r="T1137" t="s">
        <v>3746</v>
      </c>
      <c r="U1137" t="s">
        <v>3746</v>
      </c>
      <c r="V1137" t="s">
        <v>3746</v>
      </c>
      <c r="W1137" t="s">
        <v>4871</v>
      </c>
      <c r="X1137">
        <v>8</v>
      </c>
      <c r="Y1137" t="s">
        <v>6667</v>
      </c>
      <c r="Z1137" t="s">
        <v>8525</v>
      </c>
      <c r="AA1137">
        <v>1.4999999999948339</v>
      </c>
      <c r="AB1137" t="str">
        <f>HYPERLINK("Melting_Curves/meltCurve_P31946_2_YWHAB.pdf", "Melting_Curves/meltCurve_P31946_2_YWHAB.pdf")</f>
        <v>Melting_Curves/meltCurve_P31946_2_YWHAB.pdf</v>
      </c>
    </row>
    <row r="1138" spans="1:28" x14ac:dyDescent="0.25">
      <c r="A1138" t="s">
        <v>1142</v>
      </c>
      <c r="B1138">
        <v>1</v>
      </c>
      <c r="C1138">
        <v>1.26137714841639</v>
      </c>
      <c r="D1138">
        <v>2.0914225489136302</v>
      </c>
      <c r="E1138">
        <v>3.5082693762836401</v>
      </c>
      <c r="F1138">
        <v>1.67100853961734</v>
      </c>
      <c r="G1138">
        <v>1.6441736028537499</v>
      </c>
      <c r="H1138">
        <v>2.3017511620365401</v>
      </c>
      <c r="I1138">
        <v>2.1466327964544401</v>
      </c>
      <c r="J1138">
        <v>2.4496811155550802</v>
      </c>
      <c r="K1138">
        <v>2.7691600908009901</v>
      </c>
      <c r="L1138">
        <v>10721.092630032001</v>
      </c>
      <c r="M1138">
        <v>250</v>
      </c>
      <c r="O1138">
        <v>42.881626219554498</v>
      </c>
      <c r="P1138">
        <v>0.72875034839716701</v>
      </c>
      <c r="Q1138">
        <v>1.5</v>
      </c>
      <c r="R1138">
        <v>-0.63436606189300004</v>
      </c>
      <c r="S1138" t="s">
        <v>3012</v>
      </c>
      <c r="T1138" t="s">
        <v>3746</v>
      </c>
      <c r="U1138" t="s">
        <v>3746</v>
      </c>
      <c r="V1138" t="s">
        <v>3746</v>
      </c>
      <c r="W1138" t="s">
        <v>4872</v>
      </c>
      <c r="X1138">
        <v>6</v>
      </c>
      <c r="Y1138" t="s">
        <v>6668</v>
      </c>
      <c r="Z1138" t="s">
        <v>8526</v>
      </c>
      <c r="AA1138">
        <v>1.4518895272598611</v>
      </c>
      <c r="AB1138" t="str">
        <f>HYPERLINK("Melting_Curves/meltCurve_P31947_2_SFN.pdf", "Melting_Curves/meltCurve_P31947_2_SFN.pdf")</f>
        <v>Melting_Curves/meltCurve_P31947_2_SFN.pdf</v>
      </c>
    </row>
    <row r="1139" spans="1:28" x14ac:dyDescent="0.25">
      <c r="A1139" t="s">
        <v>1143</v>
      </c>
      <c r="B1139">
        <v>1</v>
      </c>
      <c r="C1139">
        <v>1.04648114539222</v>
      </c>
      <c r="D1139">
        <v>1.3815285339786201</v>
      </c>
      <c r="E1139">
        <v>1.81215970961887</v>
      </c>
      <c r="F1139">
        <v>1.3297035692679999</v>
      </c>
      <c r="G1139">
        <v>1.61998386771527</v>
      </c>
      <c r="H1139">
        <v>0.93568259729784198</v>
      </c>
      <c r="I1139">
        <v>1.50040330711837</v>
      </c>
      <c r="J1139">
        <v>1.58580358943335</v>
      </c>
      <c r="K1139">
        <v>1.4191369227666899</v>
      </c>
      <c r="L1139">
        <v>2660.9622523941498</v>
      </c>
      <c r="M1139">
        <v>59.638688265411602</v>
      </c>
      <c r="O1139">
        <v>44.567970424733502</v>
      </c>
      <c r="P1139">
        <v>0.15271249573399301</v>
      </c>
      <c r="Q1139">
        <v>1.45648778145626</v>
      </c>
      <c r="R1139">
        <v>0.38941702532768802</v>
      </c>
      <c r="S1139" t="s">
        <v>3013</v>
      </c>
      <c r="T1139" t="s">
        <v>3746</v>
      </c>
      <c r="U1139" t="s">
        <v>3746</v>
      </c>
      <c r="V1139" t="s">
        <v>3746</v>
      </c>
      <c r="W1139" t="s">
        <v>4873</v>
      </c>
      <c r="X1139">
        <v>11</v>
      </c>
      <c r="Y1139" t="s">
        <v>6669</v>
      </c>
      <c r="Z1139" t="s">
        <v>8527</v>
      </c>
      <c r="AA1139">
        <v>1.3855787474439929</v>
      </c>
      <c r="AB1139" t="str">
        <f>HYPERLINK("Melting_Curves/meltCurve_P31948_STIP1.pdf", "Melting_Curves/meltCurve_P31948_STIP1.pdf")</f>
        <v>Melting_Curves/meltCurve_P31948_STIP1.pdf</v>
      </c>
    </row>
    <row r="1140" spans="1:28" x14ac:dyDescent="0.25">
      <c r="A1140" t="s">
        <v>1144</v>
      </c>
      <c r="B1140">
        <v>1</v>
      </c>
      <c r="C1140">
        <v>1.12021027297486</v>
      </c>
      <c r="D1140">
        <v>1.2511242003926799</v>
      </c>
      <c r="E1140">
        <v>1.51415542466274</v>
      </c>
      <c r="F1140">
        <v>1.0081069098739599</v>
      </c>
      <c r="G1140">
        <v>1.00804357464057</v>
      </c>
      <c r="H1140">
        <v>0.70865792640445902</v>
      </c>
      <c r="I1140">
        <v>0.93229463550573199</v>
      </c>
      <c r="J1140">
        <v>1.08645259357781</v>
      </c>
      <c r="K1140">
        <v>1.0134270694787499</v>
      </c>
      <c r="S1140" t="s">
        <v>3014</v>
      </c>
      <c r="T1140" t="s">
        <v>3746</v>
      </c>
      <c r="U1140" t="s">
        <v>3747</v>
      </c>
      <c r="V1140" t="s">
        <v>3746</v>
      </c>
      <c r="W1140" t="s">
        <v>4874</v>
      </c>
      <c r="X1140">
        <v>4</v>
      </c>
      <c r="Y1140" t="s">
        <v>6670</v>
      </c>
      <c r="Z1140" t="s">
        <v>8528</v>
      </c>
      <c r="AB1140" t="str">
        <f>HYPERLINK("Melting_Curves/meltCurve_P31949_S100A11.pdf", "Melting_Curves/meltCurve_P31949_S100A11.pdf")</f>
        <v>Melting_Curves/meltCurve_P31949_S100A11.pdf</v>
      </c>
    </row>
    <row r="1141" spans="1:28" x14ac:dyDescent="0.25">
      <c r="A1141" t="s">
        <v>1145</v>
      </c>
      <c r="B1141">
        <v>1</v>
      </c>
      <c r="C1141">
        <v>1.11373634170569</v>
      </c>
      <c r="D1141">
        <v>1.3200179745518199</v>
      </c>
      <c r="E1141">
        <v>1.58587578638664</v>
      </c>
      <c r="F1141">
        <v>1.0046828437633</v>
      </c>
      <c r="G1141">
        <v>1.2597559245068799</v>
      </c>
      <c r="H1141">
        <v>0.87008656165744303</v>
      </c>
      <c r="I1141">
        <v>1.30100279078568</v>
      </c>
      <c r="J1141">
        <v>1.22390142377371</v>
      </c>
      <c r="K1141">
        <v>1.1731469656118401</v>
      </c>
      <c r="L1141">
        <v>10720.984045060601</v>
      </c>
      <c r="M1141">
        <v>250</v>
      </c>
      <c r="O1141">
        <v>42.881191907500998</v>
      </c>
      <c r="P1141">
        <v>0.31673091104311002</v>
      </c>
      <c r="Q1141">
        <v>1.21730878334227</v>
      </c>
      <c r="R1141">
        <v>0.12857953160297</v>
      </c>
      <c r="S1141" t="s">
        <v>3015</v>
      </c>
      <c r="T1141" t="s">
        <v>3746</v>
      </c>
      <c r="U1141" t="s">
        <v>3746</v>
      </c>
      <c r="V1141" t="s">
        <v>3746</v>
      </c>
      <c r="W1141" t="s">
        <v>4875</v>
      </c>
      <c r="X1141">
        <v>10</v>
      </c>
      <c r="Y1141" t="s">
        <v>6671</v>
      </c>
      <c r="Z1141" t="s">
        <v>8529</v>
      </c>
      <c r="AA1141">
        <v>1.196402273109247</v>
      </c>
      <c r="AB1141" t="str">
        <f>HYPERLINK("Melting_Curves/meltCurve_P32119_PRDX2.pdf", "Melting_Curves/meltCurve_P32119_PRDX2.pdf")</f>
        <v>Melting_Curves/meltCurve_P32119_PRDX2.pdf</v>
      </c>
    </row>
    <row r="1142" spans="1:28" x14ac:dyDescent="0.25">
      <c r="A1142" t="s">
        <v>1146</v>
      </c>
      <c r="B1142">
        <v>1</v>
      </c>
      <c r="C1142">
        <v>1.03078947368421</v>
      </c>
      <c r="D1142">
        <v>1.5902631578947399</v>
      </c>
      <c r="E1142">
        <v>1.9404473684210499</v>
      </c>
      <c r="F1142">
        <v>1.5358157894736799</v>
      </c>
      <c r="G1142">
        <v>1.3907894736842099</v>
      </c>
      <c r="H1142">
        <v>1.31055263157895</v>
      </c>
      <c r="I1142">
        <v>1.70802631578947</v>
      </c>
      <c r="J1142">
        <v>2.0170526315789501</v>
      </c>
      <c r="K1142">
        <v>1.9612368421052599</v>
      </c>
      <c r="L1142">
        <v>10841.853073225</v>
      </c>
      <c r="M1142">
        <v>250</v>
      </c>
      <c r="O1142">
        <v>43.364637993225202</v>
      </c>
      <c r="P1142">
        <v>0.72063326596578803</v>
      </c>
      <c r="Q1142">
        <v>1.5</v>
      </c>
      <c r="R1142">
        <v>0.36572611035236702</v>
      </c>
      <c r="S1142" t="s">
        <v>3016</v>
      </c>
      <c r="T1142" t="s">
        <v>3746</v>
      </c>
      <c r="U1142" t="s">
        <v>3746</v>
      </c>
      <c r="V1142" t="s">
        <v>3746</v>
      </c>
      <c r="W1142" t="s">
        <v>4876</v>
      </c>
      <c r="X1142">
        <v>2</v>
      </c>
      <c r="Y1142" t="s">
        <v>6672</v>
      </c>
      <c r="Z1142" t="s">
        <v>8530</v>
      </c>
      <c r="AA1142">
        <v>1.443838407216427</v>
      </c>
      <c r="AB1142" t="str">
        <f>HYPERLINK("Melting_Curves/meltCurve_P32455_GBP1.pdf", "Melting_Curves/meltCurve_P32455_GBP1.pdf")</f>
        <v>Melting_Curves/meltCurve_P32455_GBP1.pdf</v>
      </c>
    </row>
    <row r="1143" spans="1:28" x14ac:dyDescent="0.25">
      <c r="A1143" t="s">
        <v>1147</v>
      </c>
      <c r="B1143">
        <v>1</v>
      </c>
      <c r="C1143">
        <v>1.08766540642722</v>
      </c>
      <c r="D1143">
        <v>1.42596093257719</v>
      </c>
      <c r="E1143">
        <v>1.9135948330182699</v>
      </c>
      <c r="F1143">
        <v>1.5860901071203499</v>
      </c>
      <c r="G1143">
        <v>1.77378701953371</v>
      </c>
      <c r="H1143">
        <v>1.1674543163201001</v>
      </c>
      <c r="I1143">
        <v>1.7559073724007599</v>
      </c>
      <c r="J1143">
        <v>1.7575614366729699</v>
      </c>
      <c r="K1143">
        <v>1.6692659105230001</v>
      </c>
      <c r="L1143">
        <v>2371.8554815470302</v>
      </c>
      <c r="M1143">
        <v>53.637424062749602</v>
      </c>
      <c r="O1143">
        <v>44.158820847799703</v>
      </c>
      <c r="P1143">
        <v>0.15183109973327999</v>
      </c>
      <c r="Q1143">
        <v>1.5</v>
      </c>
      <c r="R1143">
        <v>0.44549212513058001</v>
      </c>
      <c r="S1143" t="s">
        <v>3017</v>
      </c>
      <c r="T1143" t="s">
        <v>3746</v>
      </c>
      <c r="U1143" t="s">
        <v>3746</v>
      </c>
      <c r="V1143" t="s">
        <v>3746</v>
      </c>
      <c r="W1143" t="s">
        <v>4877</v>
      </c>
      <c r="X1143">
        <v>4</v>
      </c>
      <c r="Y1143" t="s">
        <v>6673</v>
      </c>
      <c r="Z1143" t="s">
        <v>8531</v>
      </c>
      <c r="AA1143">
        <v>1.428779262027478</v>
      </c>
      <c r="AB1143" t="str">
        <f>HYPERLINK("Melting_Curves/meltCurve_P32929_3_CTH.pdf", "Melting_Curves/meltCurve_P32929_3_CTH.pdf")</f>
        <v>Melting_Curves/meltCurve_P32929_3_CTH.pdf</v>
      </c>
    </row>
    <row r="1144" spans="1:28" x14ac:dyDescent="0.25">
      <c r="A1144" t="s">
        <v>1148</v>
      </c>
      <c r="B1144">
        <v>1</v>
      </c>
      <c r="C1144">
        <v>0.98192472391255303</v>
      </c>
      <c r="D1144">
        <v>1.39576290286229</v>
      </c>
      <c r="E1144">
        <v>1.5975659229208901</v>
      </c>
      <c r="F1144">
        <v>1.02997520847419</v>
      </c>
      <c r="G1144">
        <v>1.23286004056795</v>
      </c>
      <c r="H1144">
        <v>0.79621365787694398</v>
      </c>
      <c r="I1144">
        <v>1.2408834798287101</v>
      </c>
      <c r="J1144">
        <v>1.1930583727744</v>
      </c>
      <c r="K1144">
        <v>1.2145593869731801</v>
      </c>
      <c r="L1144">
        <v>11049.1840898638</v>
      </c>
      <c r="M1144">
        <v>250</v>
      </c>
      <c r="O1144">
        <v>44.193906243749403</v>
      </c>
      <c r="P1144">
        <v>0.30067108554260003</v>
      </c>
      <c r="Q1144">
        <v>1.2126052847359099</v>
      </c>
      <c r="R1144">
        <v>0.16729034400516901</v>
      </c>
      <c r="S1144" t="s">
        <v>3018</v>
      </c>
      <c r="T1144" t="s">
        <v>3746</v>
      </c>
      <c r="U1144" t="s">
        <v>3746</v>
      </c>
      <c r="V1144" t="s">
        <v>3746</v>
      </c>
      <c r="W1144" t="s">
        <v>4878</v>
      </c>
      <c r="X1144">
        <v>4</v>
      </c>
      <c r="Y1144" t="s">
        <v>6674</v>
      </c>
      <c r="Z1144" t="s">
        <v>8532</v>
      </c>
      <c r="AA1144">
        <v>1.182847183139889</v>
      </c>
      <c r="AB1144" t="str">
        <f>HYPERLINK("Melting_Curves/meltCurve_P33121_2_ACSL1.pdf", "Melting_Curves/meltCurve_P33121_2_ACSL1.pdf")</f>
        <v>Melting_Curves/meltCurve_P33121_2_ACSL1.pdf</v>
      </c>
    </row>
    <row r="1145" spans="1:28" x14ac:dyDescent="0.25">
      <c r="A1145" t="s">
        <v>1149</v>
      </c>
      <c r="B1145">
        <v>1</v>
      </c>
      <c r="C1145">
        <v>1.05434833843978</v>
      </c>
      <c r="D1145">
        <v>1.46405844921046</v>
      </c>
      <c r="E1145">
        <v>2.0720245109592299</v>
      </c>
      <c r="F1145">
        <v>1.4074004242281399</v>
      </c>
      <c r="G1145">
        <v>1.6692905962762199</v>
      </c>
      <c r="H1145">
        <v>1.13570586848928</v>
      </c>
      <c r="I1145">
        <v>1.80546782936601</v>
      </c>
      <c r="J1145">
        <v>1.88074475606882</v>
      </c>
      <c r="K1145">
        <v>1.7184539241103001</v>
      </c>
      <c r="L1145">
        <v>3117.3300444442302</v>
      </c>
      <c r="M1145">
        <v>70.521339109864499</v>
      </c>
      <c r="O1145">
        <v>44.168560077757398</v>
      </c>
      <c r="P1145">
        <v>0.19958017468109701</v>
      </c>
      <c r="Q1145">
        <v>1.5</v>
      </c>
      <c r="R1145">
        <v>0.36247638655564501</v>
      </c>
      <c r="S1145" t="s">
        <v>3019</v>
      </c>
      <c r="T1145" t="s">
        <v>3746</v>
      </c>
      <c r="U1145" t="s">
        <v>3746</v>
      </c>
      <c r="V1145" t="s">
        <v>3746</v>
      </c>
      <c r="W1145" t="s">
        <v>4879</v>
      </c>
      <c r="X1145">
        <v>9</v>
      </c>
      <c r="Y1145" t="s">
        <v>6675</v>
      </c>
      <c r="Z1145" t="s">
        <v>8533</v>
      </c>
      <c r="AA1145">
        <v>1.4294384472955199</v>
      </c>
      <c r="AB1145" t="str">
        <f>HYPERLINK("Melting_Curves/meltCurve_P33176_KIF5B.pdf", "Melting_Curves/meltCurve_P33176_KIF5B.pdf")</f>
        <v>Melting_Curves/meltCurve_P33176_KIF5B.pdf</v>
      </c>
    </row>
    <row r="1146" spans="1:28" x14ac:dyDescent="0.25">
      <c r="A1146" t="s">
        <v>1150</v>
      </c>
      <c r="B1146">
        <v>1</v>
      </c>
      <c r="C1146">
        <v>0.96762616822429903</v>
      </c>
      <c r="D1146">
        <v>1.24317757009346</v>
      </c>
      <c r="E1146">
        <v>1.6573457943925201</v>
      </c>
      <c r="F1146">
        <v>1.2453831775700901</v>
      </c>
      <c r="G1146">
        <v>1.72695327102804</v>
      </c>
      <c r="H1146">
        <v>0.76721495327102796</v>
      </c>
      <c r="I1146">
        <v>1.7108785046729</v>
      </c>
      <c r="J1146">
        <v>1.4272149532710301</v>
      </c>
      <c r="K1146">
        <v>1.4010841121495301</v>
      </c>
      <c r="L1146">
        <v>11485.196179688501</v>
      </c>
      <c r="M1146">
        <v>250</v>
      </c>
      <c r="O1146">
        <v>45.937845439437901</v>
      </c>
      <c r="P1146">
        <v>0.57066136680134805</v>
      </c>
      <c r="Q1146">
        <v>1.4194392524541499</v>
      </c>
      <c r="R1146">
        <v>0.30229219666645002</v>
      </c>
      <c r="S1146" t="s">
        <v>3020</v>
      </c>
      <c r="T1146" t="s">
        <v>3746</v>
      </c>
      <c r="U1146" t="s">
        <v>3746</v>
      </c>
      <c r="V1146" t="s">
        <v>3746</v>
      </c>
      <c r="W1146" t="s">
        <v>4880</v>
      </c>
      <c r="X1146">
        <v>3</v>
      </c>
      <c r="Y1146" t="s">
        <v>6676</v>
      </c>
      <c r="Z1146" t="s">
        <v>8534</v>
      </c>
      <c r="AA1146">
        <v>1.3363454916316659</v>
      </c>
      <c r="AB1146" t="str">
        <f>HYPERLINK("Melting_Curves/meltCurve_P33908_MAN1A1.pdf", "Melting_Curves/meltCurve_P33908_MAN1A1.pdf")</f>
        <v>Melting_Curves/meltCurve_P33908_MAN1A1.pdf</v>
      </c>
    </row>
    <row r="1147" spans="1:28" x14ac:dyDescent="0.25">
      <c r="A1147" t="s">
        <v>1151</v>
      </c>
      <c r="B1147">
        <v>1</v>
      </c>
      <c r="C1147">
        <v>1.09271018542037</v>
      </c>
      <c r="D1147">
        <v>1.39708746084159</v>
      </c>
      <c r="E1147">
        <v>1.6215392430784901</v>
      </c>
      <c r="F1147">
        <v>1.21395309457286</v>
      </c>
      <c r="G1147">
        <v>1.2068410803488301</v>
      </c>
      <c r="H1147">
        <v>0.92972652611971895</v>
      </c>
      <c r="I1147">
        <v>1.19329438658877</v>
      </c>
      <c r="J1147">
        <v>1.1443569553805799</v>
      </c>
      <c r="K1147">
        <v>1.0907628481923599</v>
      </c>
      <c r="L1147">
        <v>10740.1526752974</v>
      </c>
      <c r="M1147">
        <v>250</v>
      </c>
      <c r="O1147">
        <v>42.957861436991301</v>
      </c>
      <c r="P1147">
        <v>0.32691221997659298</v>
      </c>
      <c r="Q1147">
        <v>1.2246951976681399</v>
      </c>
      <c r="R1147">
        <v>0.15536176198750301</v>
      </c>
      <c r="S1147" t="s">
        <v>3021</v>
      </c>
      <c r="T1147" t="s">
        <v>3746</v>
      </c>
      <c r="U1147" t="s">
        <v>3746</v>
      </c>
      <c r="V1147" t="s">
        <v>3746</v>
      </c>
      <c r="W1147" t="s">
        <v>4881</v>
      </c>
      <c r="X1147">
        <v>6</v>
      </c>
      <c r="Y1147" t="s">
        <v>6677</v>
      </c>
      <c r="Z1147" t="s">
        <v>8535</v>
      </c>
      <c r="AA1147">
        <v>1.2025037564937959</v>
      </c>
      <c r="AB1147" t="str">
        <f>HYPERLINK("Melting_Curves/meltCurve_P34096_RNASE4.pdf", "Melting_Curves/meltCurve_P34096_RNASE4.pdf")</f>
        <v>Melting_Curves/meltCurve_P34096_RNASE4.pdf</v>
      </c>
    </row>
    <row r="1148" spans="1:28" x14ac:dyDescent="0.25">
      <c r="A1148" t="s">
        <v>1152</v>
      </c>
      <c r="B1148">
        <v>1</v>
      </c>
      <c r="C1148">
        <v>0.98071378477363003</v>
      </c>
      <c r="D1148">
        <v>1.6161458739187999</v>
      </c>
      <c r="E1148">
        <v>2.4569079716356299</v>
      </c>
      <c r="F1148">
        <v>1.7506818358918399</v>
      </c>
      <c r="G1148">
        <v>2.5480402088365901</v>
      </c>
      <c r="H1148">
        <v>1.76805891062106</v>
      </c>
      <c r="I1148">
        <v>2.9393360866516001</v>
      </c>
      <c r="J1148">
        <v>2.7109405439102301</v>
      </c>
      <c r="K1148">
        <v>2.5928465674433099</v>
      </c>
      <c r="L1148">
        <v>11060.815286225201</v>
      </c>
      <c r="M1148">
        <v>250</v>
      </c>
      <c r="O1148">
        <v>44.240431674602199</v>
      </c>
      <c r="P1148">
        <v>0.70636745908440601</v>
      </c>
      <c r="Q1148">
        <v>1.5</v>
      </c>
      <c r="R1148">
        <v>-0.51960015035095697</v>
      </c>
      <c r="S1148" t="s">
        <v>3022</v>
      </c>
      <c r="T1148" t="s">
        <v>3746</v>
      </c>
      <c r="U1148" t="s">
        <v>3746</v>
      </c>
      <c r="V1148" t="s">
        <v>3746</v>
      </c>
      <c r="W1148" t="s">
        <v>4882</v>
      </c>
      <c r="X1148">
        <v>8</v>
      </c>
      <c r="Y1148" t="s">
        <v>6678</v>
      </c>
      <c r="Z1148" t="s">
        <v>8536</v>
      </c>
      <c r="AA1148">
        <v>1.429240157800945</v>
      </c>
      <c r="AB1148" t="str">
        <f>HYPERLINK("Melting_Curves/meltCurve_P34896_2_SHMT1.pdf", "Melting_Curves/meltCurve_P34896_2_SHMT1.pdf")</f>
        <v>Melting_Curves/meltCurve_P34896_2_SHMT1.pdf</v>
      </c>
    </row>
    <row r="1149" spans="1:28" x14ac:dyDescent="0.25">
      <c r="A1149" t="s">
        <v>1153</v>
      </c>
      <c r="B1149">
        <v>1</v>
      </c>
      <c r="C1149">
        <v>1.0410900622508801</v>
      </c>
      <c r="D1149">
        <v>1.81958439697255</v>
      </c>
      <c r="E1149">
        <v>2.7179900577724001</v>
      </c>
      <c r="F1149">
        <v>2.1518428948900499</v>
      </c>
      <c r="G1149">
        <v>2.6714138564199001</v>
      </c>
      <c r="H1149">
        <v>1.79596041022885</v>
      </c>
      <c r="I1149">
        <v>2.7175422096824802</v>
      </c>
      <c r="J1149">
        <v>2.8348784092435801</v>
      </c>
      <c r="K1149">
        <v>2.5583322137131099</v>
      </c>
      <c r="L1149">
        <v>10828.519428075901</v>
      </c>
      <c r="M1149">
        <v>250</v>
      </c>
      <c r="O1149">
        <v>43.311306051773499</v>
      </c>
      <c r="P1149">
        <v>0.72152061426564196</v>
      </c>
      <c r="Q1149">
        <v>1.5</v>
      </c>
      <c r="R1149">
        <v>-0.81175192337739199</v>
      </c>
      <c r="S1149" t="s">
        <v>3023</v>
      </c>
      <c r="T1149" t="s">
        <v>3746</v>
      </c>
      <c r="U1149" t="s">
        <v>3746</v>
      </c>
      <c r="V1149" t="s">
        <v>3746</v>
      </c>
      <c r="W1149" t="s">
        <v>4883</v>
      </c>
      <c r="X1149">
        <v>14</v>
      </c>
      <c r="Y1149" t="s">
        <v>6679</v>
      </c>
      <c r="Z1149" t="s">
        <v>8537</v>
      </c>
      <c r="AA1149">
        <v>1.4447273636930049</v>
      </c>
      <c r="AB1149" t="str">
        <f>HYPERLINK("Melting_Curves/meltCurve_P34932_HSPA4.pdf", "Melting_Curves/meltCurve_P34932_HSPA4.pdf")</f>
        <v>Melting_Curves/meltCurve_P34932_HSPA4.pdf</v>
      </c>
    </row>
    <row r="1150" spans="1:28" x14ac:dyDescent="0.25">
      <c r="A1150" t="s">
        <v>1154</v>
      </c>
      <c r="B1150">
        <v>1</v>
      </c>
      <c r="C1150">
        <v>0.98111059920322996</v>
      </c>
      <c r="D1150">
        <v>1.73148323802813</v>
      </c>
      <c r="E1150">
        <v>2.48827881514404</v>
      </c>
      <c r="F1150">
        <v>1.44502561045015</v>
      </c>
      <c r="G1150">
        <v>2.30358546302068</v>
      </c>
      <c r="H1150">
        <v>1.3259031410065301</v>
      </c>
      <c r="I1150">
        <v>2.2001951272392199</v>
      </c>
      <c r="J1150">
        <v>2.1790563429903198</v>
      </c>
      <c r="K1150">
        <v>1.9257974470852901</v>
      </c>
      <c r="L1150">
        <v>11045.219886172001</v>
      </c>
      <c r="M1150">
        <v>250</v>
      </c>
      <c r="O1150">
        <v>44.178052023646103</v>
      </c>
      <c r="P1150">
        <v>0.70736482114872201</v>
      </c>
      <c r="Q1150">
        <v>1.5</v>
      </c>
      <c r="R1150">
        <v>-5.45359373683236E-2</v>
      </c>
      <c r="S1150" t="s">
        <v>3024</v>
      </c>
      <c r="T1150" t="s">
        <v>3746</v>
      </c>
      <c r="U1150" t="s">
        <v>3746</v>
      </c>
      <c r="V1150" t="s">
        <v>3746</v>
      </c>
      <c r="W1150" t="s">
        <v>4884</v>
      </c>
      <c r="X1150">
        <v>1</v>
      </c>
      <c r="Y1150" t="s">
        <v>6680</v>
      </c>
      <c r="Z1150" t="s">
        <v>8538</v>
      </c>
      <c r="AA1150">
        <v>1.430279905877188</v>
      </c>
      <c r="AB1150" t="str">
        <f>HYPERLINK("Melting_Curves/meltCurve_P35237_SERPINB6.pdf", "Melting_Curves/meltCurve_P35237_SERPINB6.pdf")</f>
        <v>Melting_Curves/meltCurve_P35237_SERPINB6.pdf</v>
      </c>
    </row>
    <row r="1151" spans="1:28" x14ac:dyDescent="0.25">
      <c r="A1151" t="s">
        <v>1155</v>
      </c>
      <c r="B1151">
        <v>1</v>
      </c>
      <c r="C1151">
        <v>0.95037418327920598</v>
      </c>
      <c r="D1151">
        <v>1.67272120457492</v>
      </c>
      <c r="E1151">
        <v>2.3130046339678798</v>
      </c>
      <c r="F1151">
        <v>1.6535948551403701</v>
      </c>
      <c r="G1151">
        <v>1.6093090124898899</v>
      </c>
      <c r="H1151">
        <v>1.34385068610965</v>
      </c>
      <c r="I1151">
        <v>1.7944109982927501</v>
      </c>
      <c r="J1151">
        <v>1.9189248167593</v>
      </c>
      <c r="K1151">
        <v>1.6120046724773101</v>
      </c>
      <c r="L1151">
        <v>11072.9010616579</v>
      </c>
      <c r="M1151">
        <v>250</v>
      </c>
      <c r="O1151">
        <v>44.288769900024299</v>
      </c>
      <c r="P1151">
        <v>0.70559647790841495</v>
      </c>
      <c r="Q1151">
        <v>1.5</v>
      </c>
      <c r="R1151">
        <v>0.31569012447393302</v>
      </c>
      <c r="S1151" t="s">
        <v>3025</v>
      </c>
      <c r="T1151" t="s">
        <v>3746</v>
      </c>
      <c r="U1151" t="s">
        <v>3746</v>
      </c>
      <c r="V1151" t="s">
        <v>3746</v>
      </c>
      <c r="W1151" t="s">
        <v>4885</v>
      </c>
      <c r="X1151">
        <v>23</v>
      </c>
      <c r="Y1151" t="s">
        <v>6681</v>
      </c>
      <c r="Z1151" t="s">
        <v>8539</v>
      </c>
      <c r="AA1151">
        <v>1.4284343970180731</v>
      </c>
      <c r="AB1151" t="str">
        <f>HYPERLINK("Melting_Curves/meltCurve_P35241_RDX.pdf", "Melting_Curves/meltCurve_P35241_RDX.pdf")</f>
        <v>Melting_Curves/meltCurve_P35241_RDX.pdf</v>
      </c>
    </row>
    <row r="1152" spans="1:28" x14ac:dyDescent="0.25">
      <c r="A1152" t="s">
        <v>1156</v>
      </c>
      <c r="B1152">
        <v>1</v>
      </c>
      <c r="C1152">
        <v>1.1014405400518399</v>
      </c>
      <c r="D1152">
        <v>1.4863480200108501</v>
      </c>
      <c r="E1152">
        <v>1.5985775420408701</v>
      </c>
      <c r="F1152">
        <v>1.38822253028751</v>
      </c>
      <c r="G1152">
        <v>1.43674281236815</v>
      </c>
      <c r="H1152">
        <v>0.91037309384606102</v>
      </c>
      <c r="I1152">
        <v>1.7999517810861301</v>
      </c>
      <c r="J1152">
        <v>1.69212223494666</v>
      </c>
      <c r="K1152">
        <v>1.67958531734073</v>
      </c>
      <c r="L1152">
        <v>3188.1527326518899</v>
      </c>
      <c r="M1152">
        <v>72.946610115147095</v>
      </c>
      <c r="O1152">
        <v>43.672496618191197</v>
      </c>
      <c r="P1152">
        <v>0.208788888545687</v>
      </c>
      <c r="Q1152">
        <v>1.5</v>
      </c>
      <c r="R1152">
        <v>0.38009984690069398</v>
      </c>
      <c r="S1152" t="s">
        <v>3026</v>
      </c>
      <c r="T1152" t="s">
        <v>3746</v>
      </c>
      <c r="U1152" t="s">
        <v>3746</v>
      </c>
      <c r="V1152" t="s">
        <v>3746</v>
      </c>
      <c r="W1152" t="s">
        <v>4886</v>
      </c>
      <c r="X1152">
        <v>2</v>
      </c>
      <c r="Y1152" t="s">
        <v>6682</v>
      </c>
      <c r="Z1152" t="s">
        <v>8540</v>
      </c>
      <c r="AA1152">
        <v>1.437784160873864</v>
      </c>
      <c r="AB1152" t="str">
        <f>HYPERLINK("Melting_Curves/meltCurve_P35270_SPR.pdf", "Melting_Curves/meltCurve_P35270_SPR.pdf")</f>
        <v>Melting_Curves/meltCurve_P35270_SPR.pdf</v>
      </c>
    </row>
    <row r="1153" spans="1:28" x14ac:dyDescent="0.25">
      <c r="A1153" t="s">
        <v>1157</v>
      </c>
      <c r="B1153">
        <v>1</v>
      </c>
      <c r="C1153">
        <v>1.1665118325836099</v>
      </c>
      <c r="D1153">
        <v>1.79405437121064</v>
      </c>
      <c r="E1153">
        <v>2.4202034030901598</v>
      </c>
      <c r="F1153">
        <v>1.5010756894191299</v>
      </c>
      <c r="G1153">
        <v>1.6511588108742401</v>
      </c>
      <c r="H1153">
        <v>1.3460786231175399</v>
      </c>
      <c r="I1153">
        <v>1.7690445922159199</v>
      </c>
      <c r="J1153">
        <v>1.9567035008801099</v>
      </c>
      <c r="K1153">
        <v>1.7976237042832</v>
      </c>
      <c r="L1153">
        <v>10754.795765426399</v>
      </c>
      <c r="M1153">
        <v>250</v>
      </c>
      <c r="O1153">
        <v>43.0164301814048</v>
      </c>
      <c r="P1153">
        <v>0.726466607060128</v>
      </c>
      <c r="Q1153">
        <v>1.5</v>
      </c>
      <c r="R1153">
        <v>0.10868055893053601</v>
      </c>
      <c r="S1153" t="s">
        <v>3027</v>
      </c>
      <c r="T1153" t="s">
        <v>3746</v>
      </c>
      <c r="U1153" t="s">
        <v>3746</v>
      </c>
      <c r="V1153" t="s">
        <v>3746</v>
      </c>
      <c r="W1153" t="s">
        <v>4887</v>
      </c>
      <c r="X1153">
        <v>2</v>
      </c>
      <c r="Y1153" t="s">
        <v>6683</v>
      </c>
      <c r="Z1153" t="s">
        <v>8541</v>
      </c>
      <c r="AA1153">
        <v>1.4496425332908269</v>
      </c>
      <c r="AB1153" t="str">
        <f>HYPERLINK("Melting_Curves/meltCurve_P35542_SAA4.pdf", "Melting_Curves/meltCurve_P35542_SAA4.pdf")</f>
        <v>Melting_Curves/meltCurve_P35542_SAA4.pdf</v>
      </c>
    </row>
    <row r="1154" spans="1:28" x14ac:dyDescent="0.25">
      <c r="A1154" t="s">
        <v>1158</v>
      </c>
      <c r="B1154">
        <v>1</v>
      </c>
      <c r="C1154">
        <v>1.0227462913655401</v>
      </c>
      <c r="D1154">
        <v>1.3537466717383</v>
      </c>
      <c r="E1154">
        <v>1.7269684290604801</v>
      </c>
      <c r="F1154">
        <v>1.21993153290224</v>
      </c>
      <c r="G1154">
        <v>1.3236211487257501</v>
      </c>
      <c r="H1154">
        <v>0.87995435526816301</v>
      </c>
      <c r="I1154">
        <v>1.4592620768353</v>
      </c>
      <c r="J1154">
        <v>1.5402814758463299</v>
      </c>
      <c r="K1154">
        <v>1.4121719284899199</v>
      </c>
      <c r="L1154">
        <v>3928.7173400883498</v>
      </c>
      <c r="M1154">
        <v>88.853575994216001</v>
      </c>
      <c r="O1154">
        <v>44.1932686524462</v>
      </c>
      <c r="P1154">
        <v>0.183921461935212</v>
      </c>
      <c r="Q1154">
        <v>1.3659092764841601</v>
      </c>
      <c r="R1154">
        <v>0.31689590060293898</v>
      </c>
      <c r="S1154" t="s">
        <v>3028</v>
      </c>
      <c r="T1154" t="s">
        <v>3746</v>
      </c>
      <c r="U1154" t="s">
        <v>3746</v>
      </c>
      <c r="V1154" t="s">
        <v>3746</v>
      </c>
      <c r="W1154" t="s">
        <v>4888</v>
      </c>
      <c r="X1154">
        <v>27</v>
      </c>
      <c r="Y1154" t="s">
        <v>6684</v>
      </c>
      <c r="Z1154" t="s">
        <v>8542</v>
      </c>
      <c r="AA1154">
        <v>1.3142657304227079</v>
      </c>
      <c r="AB1154" t="str">
        <f>HYPERLINK("Melting_Curves/meltCurve_P35579_MYH9.pdf", "Melting_Curves/meltCurve_P35579_MYH9.pdf")</f>
        <v>Melting_Curves/meltCurve_P35579_MYH9.pdf</v>
      </c>
    </row>
    <row r="1155" spans="1:28" x14ac:dyDescent="0.25">
      <c r="A1155" t="s">
        <v>1159</v>
      </c>
      <c r="B1155">
        <v>1</v>
      </c>
      <c r="C1155">
        <v>1.0717875508033901</v>
      </c>
      <c r="D1155">
        <v>1.5214066164581099</v>
      </c>
      <c r="E1155">
        <v>1.8602415254854501</v>
      </c>
      <c r="F1155">
        <v>1.25259661747782</v>
      </c>
      <c r="G1155">
        <v>1.6813553396361101</v>
      </c>
      <c r="H1155">
        <v>1.1236179294069699</v>
      </c>
      <c r="I1155">
        <v>1.88238378953195</v>
      </c>
      <c r="J1155">
        <v>1.81246085043775</v>
      </c>
      <c r="K1155">
        <v>1.7471994406164899</v>
      </c>
      <c r="L1155">
        <v>10801.6154413075</v>
      </c>
      <c r="M1155">
        <v>250</v>
      </c>
      <c r="O1155">
        <v>43.203721711388297</v>
      </c>
      <c r="P1155">
        <v>0.72331772884774004</v>
      </c>
      <c r="Q1155">
        <v>1.5</v>
      </c>
      <c r="R1155">
        <v>0.39230777918915199</v>
      </c>
      <c r="S1155" t="s">
        <v>3029</v>
      </c>
      <c r="T1155" t="s">
        <v>3746</v>
      </c>
      <c r="U1155" t="s">
        <v>3746</v>
      </c>
      <c r="V1155" t="s">
        <v>3746</v>
      </c>
      <c r="W1155" t="s">
        <v>4889</v>
      </c>
      <c r="X1155">
        <v>5</v>
      </c>
      <c r="Y1155" t="s">
        <v>6685</v>
      </c>
      <c r="Z1155" t="s">
        <v>8543</v>
      </c>
      <c r="AA1155">
        <v>1.4465210572406699</v>
      </c>
      <c r="AB1155" t="str">
        <f>HYPERLINK("Melting_Curves/meltCurve_P35590_TIE1.pdf", "Melting_Curves/meltCurve_P35590_TIE1.pdf")</f>
        <v>Melting_Curves/meltCurve_P35590_TIE1.pdf</v>
      </c>
    </row>
    <row r="1156" spans="1:28" x14ac:dyDescent="0.25">
      <c r="A1156" t="s">
        <v>1160</v>
      </c>
      <c r="B1156">
        <v>1</v>
      </c>
      <c r="C1156">
        <v>0.794486930715672</v>
      </c>
      <c r="D1156">
        <v>1.2266293802077399</v>
      </c>
      <c r="E1156">
        <v>1.4006391964387599</v>
      </c>
      <c r="F1156">
        <v>0.82935737929460096</v>
      </c>
      <c r="G1156">
        <v>0.77907773085264198</v>
      </c>
      <c r="H1156">
        <v>0.64376212761100304</v>
      </c>
      <c r="I1156">
        <v>0.90143819198721598</v>
      </c>
      <c r="J1156">
        <v>1.0009702088802599</v>
      </c>
      <c r="K1156">
        <v>0.91804588517292596</v>
      </c>
      <c r="L1156">
        <v>12947.7425120073</v>
      </c>
      <c r="M1156">
        <v>250</v>
      </c>
      <c r="O1156">
        <v>51.787656338868402</v>
      </c>
      <c r="P1156">
        <v>-0.18661057299495101</v>
      </c>
      <c r="Q1156">
        <v>0.84537401430566905</v>
      </c>
      <c r="R1156">
        <v>0.26174244445400102</v>
      </c>
      <c r="S1156" t="s">
        <v>3030</v>
      </c>
      <c r="T1156" t="s">
        <v>3746</v>
      </c>
      <c r="U1156" t="s">
        <v>3746</v>
      </c>
      <c r="V1156" t="s">
        <v>3746</v>
      </c>
      <c r="W1156" t="s">
        <v>4890</v>
      </c>
      <c r="X1156">
        <v>4</v>
      </c>
      <c r="Y1156" t="s">
        <v>6686</v>
      </c>
      <c r="Z1156" t="s">
        <v>8544</v>
      </c>
      <c r="AA1156">
        <v>0.90616108082328328</v>
      </c>
      <c r="AB1156" t="str">
        <f>HYPERLINK("Melting_Curves/meltCurve_P35613_3_BSG.pdf", "Melting_Curves/meltCurve_P35613_3_BSG.pdf")</f>
        <v>Melting_Curves/meltCurve_P35613_3_BSG.pdf</v>
      </c>
    </row>
    <row r="1157" spans="1:28" x14ac:dyDescent="0.25">
      <c r="A1157" t="s">
        <v>1161</v>
      </c>
      <c r="B1157">
        <v>1</v>
      </c>
      <c r="C1157">
        <v>0.98598550224369996</v>
      </c>
      <c r="D1157">
        <v>1.22575077666552</v>
      </c>
      <c r="E1157">
        <v>1.4376941663790099</v>
      </c>
      <c r="F1157">
        <v>1.1058336209872299</v>
      </c>
      <c r="G1157">
        <v>1.36168450120815</v>
      </c>
      <c r="H1157">
        <v>0.64334138764238902</v>
      </c>
      <c r="I1157">
        <v>1.13600276147739</v>
      </c>
      <c r="J1157">
        <v>1.07400759406282</v>
      </c>
      <c r="K1157">
        <v>0.95284777355885397</v>
      </c>
      <c r="L1157">
        <v>15000</v>
      </c>
      <c r="M1157">
        <v>211.27951682961299</v>
      </c>
      <c r="Q1157">
        <v>0</v>
      </c>
      <c r="R1157">
        <v>-0.18324361477256099</v>
      </c>
      <c r="S1157" t="s">
        <v>3031</v>
      </c>
      <c r="T1157" t="s">
        <v>3746</v>
      </c>
      <c r="U1157" t="s">
        <v>3746</v>
      </c>
      <c r="V1157" t="s">
        <v>3746</v>
      </c>
      <c r="W1157" t="s">
        <v>4891</v>
      </c>
      <c r="X1157">
        <v>4</v>
      </c>
      <c r="Y1157" t="s">
        <v>6687</v>
      </c>
      <c r="Z1157" t="s">
        <v>8545</v>
      </c>
      <c r="AA1157">
        <v>0.99947902777525632</v>
      </c>
      <c r="AB1157" t="str">
        <f>HYPERLINK("Melting_Curves/meltCurve_P35754_GLRX.pdf", "Melting_Curves/meltCurve_P35754_GLRX.pdf")</f>
        <v>Melting_Curves/meltCurve_P35754_GLRX.pdf</v>
      </c>
    </row>
    <row r="1158" spans="1:28" x14ac:dyDescent="0.25">
      <c r="A1158" t="s">
        <v>1162</v>
      </c>
      <c r="B1158">
        <v>1</v>
      </c>
      <c r="C1158">
        <v>1.0750354244493101</v>
      </c>
      <c r="D1158">
        <v>1.70874661857529</v>
      </c>
      <c r="E1158">
        <v>2.3450985443771701</v>
      </c>
      <c r="F1158">
        <v>1.65180986731934</v>
      </c>
      <c r="G1158">
        <v>1.66952209197475</v>
      </c>
      <c r="H1158">
        <v>1.3735025119155</v>
      </c>
      <c r="I1158">
        <v>1.8547597578255799</v>
      </c>
      <c r="J1158">
        <v>1.9998067757310301</v>
      </c>
      <c r="K1158">
        <v>1.8534715960324599</v>
      </c>
      <c r="L1158">
        <v>10799.390302013</v>
      </c>
      <c r="M1158">
        <v>250</v>
      </c>
      <c r="O1158">
        <v>43.194796871875397</v>
      </c>
      <c r="P1158">
        <v>0.72346676718201497</v>
      </c>
      <c r="Q1158">
        <v>1.5</v>
      </c>
      <c r="R1158">
        <v>0.12874645828109099</v>
      </c>
      <c r="S1158" t="s">
        <v>3032</v>
      </c>
      <c r="T1158" t="s">
        <v>3746</v>
      </c>
      <c r="U1158" t="s">
        <v>3746</v>
      </c>
      <c r="V1158" t="s">
        <v>3746</v>
      </c>
      <c r="W1158" t="s">
        <v>4892</v>
      </c>
      <c r="X1158">
        <v>6</v>
      </c>
      <c r="Y1158" t="s">
        <v>6688</v>
      </c>
      <c r="Z1158" t="s">
        <v>8546</v>
      </c>
      <c r="AA1158">
        <v>1.4466694076701949</v>
      </c>
      <c r="AB1158" t="str">
        <f>HYPERLINK("Melting_Curves/meltCurve_P35813_PPM1A.pdf", "Melting_Curves/meltCurve_P35813_PPM1A.pdf")</f>
        <v>Melting_Curves/meltCurve_P35813_PPM1A.pdf</v>
      </c>
    </row>
    <row r="1159" spans="1:28" x14ac:dyDescent="0.25">
      <c r="A1159" t="s">
        <v>1163</v>
      </c>
      <c r="B1159">
        <v>1</v>
      </c>
      <c r="C1159">
        <v>1.02152128401954</v>
      </c>
      <c r="D1159">
        <v>1.5707187718074</v>
      </c>
      <c r="E1159">
        <v>2.0660153524075402</v>
      </c>
      <c r="F1159">
        <v>1.5023028611305</v>
      </c>
      <c r="G1159">
        <v>1.76340544312631</v>
      </c>
      <c r="H1159">
        <v>1.43522679692952</v>
      </c>
      <c r="I1159">
        <v>2.2976692254012598</v>
      </c>
      <c r="J1159">
        <v>2.4010607117934399</v>
      </c>
      <c r="K1159">
        <v>2.1697418004186999</v>
      </c>
      <c r="L1159">
        <v>10858.0544249494</v>
      </c>
      <c r="M1159">
        <v>250</v>
      </c>
      <c r="O1159">
        <v>43.429438154348297</v>
      </c>
      <c r="P1159">
        <v>0.71955800584121998</v>
      </c>
      <c r="Q1159">
        <v>1.5</v>
      </c>
      <c r="R1159">
        <v>-7.5957451272918898E-3</v>
      </c>
      <c r="S1159" t="s">
        <v>3033</v>
      </c>
      <c r="T1159" t="s">
        <v>3746</v>
      </c>
      <c r="U1159" t="s">
        <v>3746</v>
      </c>
      <c r="V1159" t="s">
        <v>3746</v>
      </c>
      <c r="W1159" t="s">
        <v>4893</v>
      </c>
      <c r="X1159">
        <v>12</v>
      </c>
      <c r="Y1159" t="s">
        <v>6689</v>
      </c>
      <c r="Z1159" t="s">
        <v>8547</v>
      </c>
      <c r="AA1159">
        <v>1.442758260235822</v>
      </c>
      <c r="AB1159" t="str">
        <f>HYPERLINK("Melting_Curves/meltCurve_P35858_IGFALS.pdf", "Melting_Curves/meltCurve_P35858_IGFALS.pdf")</f>
        <v>Melting_Curves/meltCurve_P35858_IGFALS.pdf</v>
      </c>
    </row>
    <row r="1160" spans="1:28" x14ac:dyDescent="0.25">
      <c r="A1160" t="s">
        <v>1164</v>
      </c>
      <c r="B1160">
        <v>1</v>
      </c>
      <c r="C1160">
        <v>1.0763944015040701</v>
      </c>
      <c r="D1160">
        <v>1.7885941090453299</v>
      </c>
      <c r="E1160">
        <v>3.3369542510967198</v>
      </c>
      <c r="F1160">
        <v>2.5107583037392902</v>
      </c>
      <c r="G1160">
        <v>4.1472738667223696</v>
      </c>
      <c r="H1160">
        <v>2.3666179235429299</v>
      </c>
      <c r="I1160">
        <v>3.77209108000836</v>
      </c>
      <c r="J1160">
        <v>4.10925423020681</v>
      </c>
      <c r="K1160">
        <v>3.8558596198036299</v>
      </c>
      <c r="L1160">
        <v>10798.48280523</v>
      </c>
      <c r="M1160">
        <v>250</v>
      </c>
      <c r="O1160">
        <v>43.191167128742897</v>
      </c>
      <c r="P1160">
        <v>0.72352756681244901</v>
      </c>
      <c r="Q1160">
        <v>1.5</v>
      </c>
      <c r="R1160">
        <v>-1.2237277743103501</v>
      </c>
      <c r="S1160" t="s">
        <v>3034</v>
      </c>
      <c r="T1160" t="s">
        <v>3746</v>
      </c>
      <c r="U1160" t="s">
        <v>3746</v>
      </c>
      <c r="V1160" t="s">
        <v>3746</v>
      </c>
      <c r="W1160" t="s">
        <v>4894</v>
      </c>
      <c r="X1160">
        <v>4</v>
      </c>
      <c r="Y1160" t="s">
        <v>6690</v>
      </c>
      <c r="Z1160" t="s">
        <v>8548</v>
      </c>
      <c r="AA1160">
        <v>1.446729910640896</v>
      </c>
      <c r="AB1160" t="str">
        <f>HYPERLINK("Melting_Curves/meltCurve_P35998_PSMC2.pdf", "Melting_Curves/meltCurve_P35998_PSMC2.pdf")</f>
        <v>Melting_Curves/meltCurve_P35998_PSMC2.pdf</v>
      </c>
    </row>
    <row r="1161" spans="1:28" x14ac:dyDescent="0.25">
      <c r="A1161" t="s">
        <v>1165</v>
      </c>
      <c r="B1161">
        <v>1</v>
      </c>
      <c r="C1161">
        <v>1.48364228020222</v>
      </c>
      <c r="D1161">
        <v>2.3751234818990099</v>
      </c>
      <c r="E1161">
        <v>2.27041083154164</v>
      </c>
      <c r="F1161">
        <v>1.7490266720901899</v>
      </c>
      <c r="G1161">
        <v>2.5207449590330602</v>
      </c>
      <c r="H1161">
        <v>0.89520018594921302</v>
      </c>
      <c r="I1161">
        <v>1.7853158231158099</v>
      </c>
      <c r="J1161">
        <v>1.6598291591609</v>
      </c>
      <c r="K1161">
        <v>1.4829159160904199</v>
      </c>
      <c r="L1161">
        <v>1.0000000000000001E-5</v>
      </c>
      <c r="M1161">
        <v>22.778370164591099</v>
      </c>
      <c r="Q1161">
        <v>1.5</v>
      </c>
      <c r="R1161">
        <v>-0.18338722563771001</v>
      </c>
      <c r="S1161" t="s">
        <v>3035</v>
      </c>
      <c r="T1161" t="s">
        <v>3746</v>
      </c>
      <c r="U1161" t="s">
        <v>3746</v>
      </c>
      <c r="V1161" t="s">
        <v>3746</v>
      </c>
      <c r="W1161" t="s">
        <v>4895</v>
      </c>
      <c r="X1161">
        <v>17</v>
      </c>
      <c r="Y1161" t="s">
        <v>6691</v>
      </c>
      <c r="Z1161" t="s">
        <v>8549</v>
      </c>
      <c r="AA1161">
        <v>1.4999999999359599</v>
      </c>
      <c r="AB1161" t="str">
        <f>HYPERLINK("Melting_Curves/meltCurve_P36222_CHI3L1.pdf", "Melting_Curves/meltCurve_P36222_CHI3L1.pdf")</f>
        <v>Melting_Curves/meltCurve_P36222_CHI3L1.pdf</v>
      </c>
    </row>
    <row r="1162" spans="1:28" x14ac:dyDescent="0.25">
      <c r="A1162" t="s">
        <v>1166</v>
      </c>
      <c r="B1162">
        <v>1</v>
      </c>
      <c r="C1162">
        <v>0.97132987910190005</v>
      </c>
      <c r="D1162">
        <v>1.41124195321087</v>
      </c>
      <c r="E1162">
        <v>1.9095619406500199</v>
      </c>
      <c r="F1162">
        <v>1.4865441984612999</v>
      </c>
      <c r="G1162">
        <v>2.5667137698225799</v>
      </c>
      <c r="H1162">
        <v>2.20640602920396</v>
      </c>
      <c r="I1162">
        <v>2.6417019940336002</v>
      </c>
      <c r="J1162">
        <v>2.1521745956979101</v>
      </c>
      <c r="K1162">
        <v>1.90014130946773</v>
      </c>
      <c r="L1162">
        <v>11429.4696973952</v>
      </c>
      <c r="M1162">
        <v>250</v>
      </c>
      <c r="O1162">
        <v>45.714953182915202</v>
      </c>
      <c r="P1162">
        <v>0.68358377039266605</v>
      </c>
      <c r="Q1162">
        <v>1.5</v>
      </c>
      <c r="R1162">
        <v>-0.162697541126235</v>
      </c>
      <c r="S1162" t="s">
        <v>3036</v>
      </c>
      <c r="T1162" t="s">
        <v>3746</v>
      </c>
      <c r="U1162" t="s">
        <v>3746</v>
      </c>
      <c r="V1162" t="s">
        <v>3746</v>
      </c>
      <c r="W1162" t="s">
        <v>4896</v>
      </c>
      <c r="X1162">
        <v>5</v>
      </c>
      <c r="Y1162" t="s">
        <v>6692</v>
      </c>
      <c r="Z1162" t="s">
        <v>8550</v>
      </c>
      <c r="AA1162">
        <v>1.4046619030907781</v>
      </c>
      <c r="AB1162" t="str">
        <f>HYPERLINK("Melting_Curves/meltCurve_P36578_RPL4.pdf", "Melting_Curves/meltCurve_P36578_RPL4.pdf")</f>
        <v>Melting_Curves/meltCurve_P36578_RPL4.pdf</v>
      </c>
    </row>
    <row r="1163" spans="1:28" x14ac:dyDescent="0.25">
      <c r="A1163" t="s">
        <v>1167</v>
      </c>
      <c r="B1163">
        <v>1</v>
      </c>
      <c r="C1163">
        <v>0.97501684093371999</v>
      </c>
      <c r="D1163">
        <v>1.4011949740796099</v>
      </c>
      <c r="E1163">
        <v>2.1601206689511798</v>
      </c>
      <c r="F1163">
        <v>2.31309492428902</v>
      </c>
      <c r="G1163">
        <v>3.1886477462437401</v>
      </c>
      <c r="H1163">
        <v>2.2248777201769001</v>
      </c>
      <c r="I1163">
        <v>3.2068066660809</v>
      </c>
      <c r="J1163">
        <v>3.4267639047535399</v>
      </c>
      <c r="K1163">
        <v>3.0755938259672599</v>
      </c>
      <c r="L1163">
        <v>11398.0318245543</v>
      </c>
      <c r="M1163">
        <v>249.184615216579</v>
      </c>
      <c r="O1163">
        <v>45.738368071394703</v>
      </c>
      <c r="P1163">
        <v>0.68100542850932499</v>
      </c>
      <c r="Q1163">
        <v>1.5</v>
      </c>
      <c r="R1163">
        <v>-0.74991204397779598</v>
      </c>
      <c r="S1163" t="s">
        <v>3037</v>
      </c>
      <c r="T1163" t="s">
        <v>3746</v>
      </c>
      <c r="U1163" t="s">
        <v>3746</v>
      </c>
      <c r="V1163" t="s">
        <v>3746</v>
      </c>
      <c r="W1163" t="s">
        <v>4897</v>
      </c>
      <c r="X1163">
        <v>25</v>
      </c>
      <c r="Y1163" t="s">
        <v>6693</v>
      </c>
      <c r="Z1163" t="s">
        <v>8551</v>
      </c>
      <c r="AA1163">
        <v>1.404271026101285</v>
      </c>
      <c r="AB1163" t="str">
        <f>HYPERLINK("Melting_Curves/meltCurve_P36871_PGM1.pdf", "Melting_Curves/meltCurve_P36871_PGM1.pdf")</f>
        <v>Melting_Curves/meltCurve_P36871_PGM1.pdf</v>
      </c>
    </row>
    <row r="1164" spans="1:28" x14ac:dyDescent="0.25">
      <c r="A1164" t="s">
        <v>1168</v>
      </c>
      <c r="B1164">
        <v>1</v>
      </c>
      <c r="C1164">
        <v>1.01562046619596</v>
      </c>
      <c r="D1164">
        <v>1.3774542992552501</v>
      </c>
      <c r="E1164">
        <v>1.95850662539897</v>
      </c>
      <c r="F1164">
        <v>2.3018667182512802</v>
      </c>
      <c r="G1164">
        <v>3.25727826675694</v>
      </c>
      <c r="H1164">
        <v>2.1844472386110798</v>
      </c>
      <c r="I1164">
        <v>3.14145468613986</v>
      </c>
      <c r="J1164">
        <v>3.3412322274881499</v>
      </c>
      <c r="K1164">
        <v>2.9639230099622802</v>
      </c>
      <c r="L1164">
        <v>7498.1226204304603</v>
      </c>
      <c r="M1164">
        <v>164.12768975808299</v>
      </c>
      <c r="O1164">
        <v>45.677908057161901</v>
      </c>
      <c r="P1164">
        <v>0.449144067642404</v>
      </c>
      <c r="Q1164">
        <v>1.5</v>
      </c>
      <c r="R1164">
        <v>-0.69652219489324296</v>
      </c>
      <c r="S1164" t="s">
        <v>3038</v>
      </c>
      <c r="T1164" t="s">
        <v>3746</v>
      </c>
      <c r="U1164" t="s">
        <v>3746</v>
      </c>
      <c r="V1164" t="s">
        <v>3746</v>
      </c>
      <c r="W1164" t="s">
        <v>4898</v>
      </c>
      <c r="X1164">
        <v>9</v>
      </c>
      <c r="Y1164" t="s">
        <v>6694</v>
      </c>
      <c r="Z1164" t="s">
        <v>8552</v>
      </c>
      <c r="AA1164">
        <v>1.40516213001824</v>
      </c>
      <c r="AB1164" t="str">
        <f>HYPERLINK("Melting_Curves/meltCurve_P36955_SERPINF1.pdf", "Melting_Curves/meltCurve_P36955_SERPINF1.pdf")</f>
        <v>Melting_Curves/meltCurve_P36955_SERPINF1.pdf</v>
      </c>
    </row>
    <row r="1165" spans="1:28" x14ac:dyDescent="0.25">
      <c r="A1165" t="s">
        <v>1169</v>
      </c>
      <c r="B1165">
        <v>1</v>
      </c>
      <c r="C1165">
        <v>1.07450176941702</v>
      </c>
      <c r="D1165">
        <v>1.4593241033919</v>
      </c>
      <c r="E1165">
        <v>1.6571883860019501</v>
      </c>
      <c r="F1165">
        <v>1.18946213861468</v>
      </c>
      <c r="G1165">
        <v>1.44314066347965</v>
      </c>
      <c r="H1165">
        <v>0.67562757393265904</v>
      </c>
      <c r="I1165">
        <v>1.22213944247843</v>
      </c>
      <c r="J1165">
        <v>1.23730883052917</v>
      </c>
      <c r="K1165">
        <v>1.15318391589578</v>
      </c>
      <c r="L1165">
        <v>10762.883988731201</v>
      </c>
      <c r="M1165">
        <v>250</v>
      </c>
      <c r="O1165">
        <v>43.048781063608899</v>
      </c>
      <c r="P1165">
        <v>0.36974316341720198</v>
      </c>
      <c r="Q1165">
        <v>1.25467187885056</v>
      </c>
      <c r="R1165">
        <v>0.117198687559007</v>
      </c>
      <c r="S1165" t="s">
        <v>3039</v>
      </c>
      <c r="T1165" t="s">
        <v>3746</v>
      </c>
      <c r="U1165" t="s">
        <v>3746</v>
      </c>
      <c r="V1165" t="s">
        <v>3746</v>
      </c>
      <c r="W1165" t="s">
        <v>4899</v>
      </c>
      <c r="X1165">
        <v>6</v>
      </c>
      <c r="Y1165" t="s">
        <v>6695</v>
      </c>
      <c r="Z1165" t="s">
        <v>8553</v>
      </c>
      <c r="AA1165">
        <v>1.228747957333354</v>
      </c>
      <c r="AB1165" t="str">
        <f>HYPERLINK("Melting_Curves/meltCurve_P36980_2_CFHR2.pdf", "Melting_Curves/meltCurve_P36980_2_CFHR2.pdf")</f>
        <v>Melting_Curves/meltCurve_P36980_2_CFHR2.pdf</v>
      </c>
    </row>
    <row r="1166" spans="1:28" x14ac:dyDescent="0.25">
      <c r="A1166" t="s">
        <v>1170</v>
      </c>
      <c r="B1166">
        <v>1</v>
      </c>
      <c r="C1166">
        <v>0.99071933309453297</v>
      </c>
      <c r="D1166">
        <v>1.61021198997037</v>
      </c>
      <c r="E1166">
        <v>2.2953857175420902</v>
      </c>
      <c r="F1166">
        <v>2.1929401804031401</v>
      </c>
      <c r="G1166">
        <v>2.6325507180305401</v>
      </c>
      <c r="H1166">
        <v>1.4046045133348499</v>
      </c>
      <c r="I1166">
        <v>2.25702562766616</v>
      </c>
      <c r="J1166">
        <v>2.3536096909700701</v>
      </c>
      <c r="K1166">
        <v>2.1879253638998302</v>
      </c>
      <c r="L1166">
        <v>11046.188903235599</v>
      </c>
      <c r="M1166">
        <v>250</v>
      </c>
      <c r="O1166">
        <v>44.181927902226903</v>
      </c>
      <c r="P1166">
        <v>0.70730276820120297</v>
      </c>
      <c r="Q1166">
        <v>1.5</v>
      </c>
      <c r="R1166">
        <v>-0.32629743756111701</v>
      </c>
      <c r="S1166" t="s">
        <v>3040</v>
      </c>
      <c r="T1166" t="s">
        <v>3746</v>
      </c>
      <c r="U1166" t="s">
        <v>3746</v>
      </c>
      <c r="V1166" t="s">
        <v>3746</v>
      </c>
      <c r="W1166" t="s">
        <v>4900</v>
      </c>
      <c r="X1166">
        <v>4</v>
      </c>
      <c r="Y1166" t="s">
        <v>6696</v>
      </c>
      <c r="Z1166" t="s">
        <v>8554</v>
      </c>
      <c r="AA1166">
        <v>1.430215301338396</v>
      </c>
      <c r="AB1166" t="str">
        <f>HYPERLINK("Melting_Curves/meltCurve_P37802_TAGLN2.pdf", "Melting_Curves/meltCurve_P37802_TAGLN2.pdf")</f>
        <v>Melting_Curves/meltCurve_P37802_TAGLN2.pdf</v>
      </c>
    </row>
    <row r="1167" spans="1:28" x14ac:dyDescent="0.25">
      <c r="A1167" t="s">
        <v>1171</v>
      </c>
      <c r="B1167">
        <v>1</v>
      </c>
      <c r="C1167">
        <v>0.78999049730757098</v>
      </c>
      <c r="D1167">
        <v>1.3805432372505499</v>
      </c>
      <c r="E1167">
        <v>1.6404418751979699</v>
      </c>
      <c r="F1167">
        <v>1.3269322141273401</v>
      </c>
      <c r="G1167">
        <v>1.6737804878048801</v>
      </c>
      <c r="H1167">
        <v>1.63474025974026</v>
      </c>
      <c r="I1167">
        <v>2.40691320874248</v>
      </c>
      <c r="J1167">
        <v>2.7736379474184401</v>
      </c>
      <c r="K1167">
        <v>2.3488675958188199</v>
      </c>
      <c r="L1167">
        <v>11446.7023461343</v>
      </c>
      <c r="M1167">
        <v>250</v>
      </c>
      <c r="O1167">
        <v>45.783879167024601</v>
      </c>
      <c r="P1167">
        <v>0.68255465662308901</v>
      </c>
      <c r="Q1167">
        <v>1.5</v>
      </c>
      <c r="R1167">
        <v>9.1694665221753596E-2</v>
      </c>
      <c r="S1167" t="s">
        <v>3041</v>
      </c>
      <c r="T1167" t="s">
        <v>3746</v>
      </c>
      <c r="U1167" t="s">
        <v>3746</v>
      </c>
      <c r="V1167" t="s">
        <v>3746</v>
      </c>
      <c r="W1167" t="s">
        <v>4901</v>
      </c>
      <c r="X1167">
        <v>1</v>
      </c>
      <c r="Y1167" t="s">
        <v>6697</v>
      </c>
      <c r="Z1167" t="s">
        <v>8555</v>
      </c>
      <c r="AA1167">
        <v>1.403512999355442</v>
      </c>
      <c r="AB1167" t="str">
        <f>HYPERLINK("Melting_Curves/meltCurve_P38646_HSPA9.pdf", "Melting_Curves/meltCurve_P38646_HSPA9.pdf")</f>
        <v>Melting_Curves/meltCurve_P38646_HSPA9.pdf</v>
      </c>
    </row>
    <row r="1168" spans="1:28" x14ac:dyDescent="0.25">
      <c r="A1168" t="s">
        <v>1172</v>
      </c>
      <c r="B1168">
        <v>1</v>
      </c>
      <c r="C1168">
        <v>1.0231504781077001</v>
      </c>
      <c r="D1168">
        <v>1.5218330915657701</v>
      </c>
      <c r="E1168">
        <v>1.9885135735220101</v>
      </c>
      <c r="F1168">
        <v>1.8479528701264101</v>
      </c>
      <c r="G1168">
        <v>2.0517777317268102</v>
      </c>
      <c r="H1168">
        <v>1.4481482577933</v>
      </c>
      <c r="I1168">
        <v>2.2557802184789399</v>
      </c>
      <c r="J1168">
        <v>2.4694336718079302</v>
      </c>
      <c r="K1168">
        <v>2.1770330678824101</v>
      </c>
      <c r="L1168">
        <v>10854.7797354512</v>
      </c>
      <c r="M1168">
        <v>250</v>
      </c>
      <c r="O1168">
        <v>43.416340417656102</v>
      </c>
      <c r="P1168">
        <v>0.71977508339642104</v>
      </c>
      <c r="Q1168">
        <v>1.5</v>
      </c>
      <c r="R1168">
        <v>-0.12716480914272599</v>
      </c>
      <c r="S1168" t="s">
        <v>3042</v>
      </c>
      <c r="T1168" t="s">
        <v>3746</v>
      </c>
      <c r="U1168" t="s">
        <v>3746</v>
      </c>
      <c r="V1168" t="s">
        <v>3746</v>
      </c>
      <c r="W1168" t="s">
        <v>4902</v>
      </c>
      <c r="X1168">
        <v>8</v>
      </c>
      <c r="Y1168" t="s">
        <v>6698</v>
      </c>
      <c r="Z1168" t="s">
        <v>8556</v>
      </c>
      <c r="AA1168">
        <v>1.4429765843629929</v>
      </c>
      <c r="AB1168" t="str">
        <f>HYPERLINK("Melting_Curves/meltCurve_P40121_2_CAPG.pdf", "Melting_Curves/meltCurve_P40121_2_CAPG.pdf")</f>
        <v>Melting_Curves/meltCurve_P40121_2_CAPG.pdf</v>
      </c>
    </row>
    <row r="1169" spans="1:28" x14ac:dyDescent="0.25">
      <c r="A1169" t="s">
        <v>1173</v>
      </c>
      <c r="B1169">
        <v>1</v>
      </c>
      <c r="C1169">
        <v>1.1173940494041501</v>
      </c>
      <c r="D1169">
        <v>1.4921868834346099</v>
      </c>
      <c r="E1169">
        <v>1.83351748086181</v>
      </c>
      <c r="F1169">
        <v>1.2724725751716499</v>
      </c>
      <c r="G1169">
        <v>1.3964959356009801</v>
      </c>
      <c r="H1169">
        <v>0.753965748559703</v>
      </c>
      <c r="I1169">
        <v>1.2761423723462999</v>
      </c>
      <c r="J1169">
        <v>1.2606345197695501</v>
      </c>
      <c r="K1169">
        <v>1.1505406045300299</v>
      </c>
      <c r="L1169">
        <v>10744.9960646411</v>
      </c>
      <c r="M1169">
        <v>250</v>
      </c>
      <c r="O1169">
        <v>42.977233763714402</v>
      </c>
      <c r="P1169">
        <v>0.44281368132445098</v>
      </c>
      <c r="Q1169">
        <v>1.3044945136116799</v>
      </c>
      <c r="R1169">
        <v>0.136681455978133</v>
      </c>
      <c r="S1169" t="s">
        <v>3043</v>
      </c>
      <c r="T1169" t="s">
        <v>3746</v>
      </c>
      <c r="U1169" t="s">
        <v>3746</v>
      </c>
      <c r="V1169" t="s">
        <v>3746</v>
      </c>
      <c r="W1169" t="s">
        <v>4903</v>
      </c>
      <c r="X1169">
        <v>4</v>
      </c>
      <c r="Y1169" t="s">
        <v>6699</v>
      </c>
      <c r="Z1169" t="s">
        <v>8557</v>
      </c>
      <c r="AA1169">
        <v>1.27422525057528</v>
      </c>
      <c r="AB1169" t="str">
        <f>HYPERLINK("Melting_Curves/meltCurve_P40189_3_IL6ST.pdf", "Melting_Curves/meltCurve_P40189_3_IL6ST.pdf")</f>
        <v>Melting_Curves/meltCurve_P40189_3_IL6ST.pdf</v>
      </c>
    </row>
    <row r="1170" spans="1:28" x14ac:dyDescent="0.25">
      <c r="A1170" t="s">
        <v>1174</v>
      </c>
      <c r="B1170">
        <v>1</v>
      </c>
      <c r="C1170">
        <v>1.10791615289766</v>
      </c>
      <c r="D1170">
        <v>1.6280641183723801</v>
      </c>
      <c r="E1170">
        <v>2.2907521578298402</v>
      </c>
      <c r="F1170">
        <v>1.9841183723797799</v>
      </c>
      <c r="G1170">
        <v>2.4122811344019701</v>
      </c>
      <c r="H1170">
        <v>1.7361775585696699</v>
      </c>
      <c r="I1170">
        <v>2.84429099876695</v>
      </c>
      <c r="J1170">
        <v>3.1134401972873</v>
      </c>
      <c r="K1170">
        <v>2.8895191122071502</v>
      </c>
      <c r="S1170" t="s">
        <v>3044</v>
      </c>
      <c r="T1170" t="s">
        <v>3746</v>
      </c>
      <c r="U1170" t="s">
        <v>3747</v>
      </c>
      <c r="V1170" t="s">
        <v>3746</v>
      </c>
      <c r="W1170" t="s">
        <v>4904</v>
      </c>
      <c r="X1170">
        <v>5</v>
      </c>
      <c r="Y1170" t="s">
        <v>6700</v>
      </c>
      <c r="Z1170" t="s">
        <v>8558</v>
      </c>
      <c r="AB1170" t="str">
        <f>HYPERLINK("Melting_Curves/meltCurve_P40227_2_CCT6A.pdf", "Melting_Curves/meltCurve_P40227_2_CCT6A.pdf")</f>
        <v>Melting_Curves/meltCurve_P40227_2_CCT6A.pdf</v>
      </c>
    </row>
    <row r="1171" spans="1:28" x14ac:dyDescent="0.25">
      <c r="A1171" t="s">
        <v>1175</v>
      </c>
      <c r="B1171">
        <v>1</v>
      </c>
      <c r="C1171">
        <v>0.76136633428300104</v>
      </c>
      <c r="D1171">
        <v>1.6889838556505199</v>
      </c>
      <c r="E1171">
        <v>2.6492462013295301</v>
      </c>
      <c r="F1171">
        <v>2.1271367521367499</v>
      </c>
      <c r="G1171">
        <v>1.9944207027540399</v>
      </c>
      <c r="H1171">
        <v>1.9845679012345701</v>
      </c>
      <c r="I1171">
        <v>2.4627552231718899</v>
      </c>
      <c r="J1171">
        <v>2.39791073124406</v>
      </c>
      <c r="K1171">
        <v>2.33250237416904</v>
      </c>
      <c r="L1171">
        <v>11105.6733008631</v>
      </c>
      <c r="M1171">
        <v>250</v>
      </c>
      <c r="O1171">
        <v>44.419850462658999</v>
      </c>
      <c r="P1171">
        <v>0.703514300994876</v>
      </c>
      <c r="Q1171">
        <v>1.5</v>
      </c>
      <c r="R1171">
        <v>-0.34030935319500299</v>
      </c>
      <c r="S1171" t="s">
        <v>3045</v>
      </c>
      <c r="T1171" t="s">
        <v>3746</v>
      </c>
      <c r="U1171" t="s">
        <v>3746</v>
      </c>
      <c r="V1171" t="s">
        <v>3746</v>
      </c>
      <c r="W1171" t="s">
        <v>4905</v>
      </c>
      <c r="X1171">
        <v>3</v>
      </c>
      <c r="Y1171" t="s">
        <v>6701</v>
      </c>
      <c r="Z1171" t="s">
        <v>8559</v>
      </c>
      <c r="AA1171">
        <v>1.426249466041523</v>
      </c>
      <c r="AB1171" t="str">
        <f>HYPERLINK("Melting_Curves/meltCurve_P40306_PSMB10.pdf", "Melting_Curves/meltCurve_P40306_PSMB10.pdf")</f>
        <v>Melting_Curves/meltCurve_P40306_PSMB10.pdf</v>
      </c>
    </row>
    <row r="1172" spans="1:28" x14ac:dyDescent="0.25">
      <c r="A1172" t="s">
        <v>1176</v>
      </c>
      <c r="B1172">
        <v>1</v>
      </c>
      <c r="C1172">
        <v>0.562928546286519</v>
      </c>
      <c r="D1172">
        <v>1.1859908482928501</v>
      </c>
      <c r="E1172">
        <v>1.30848292854629</v>
      </c>
      <c r="F1172">
        <v>1.15705737416403</v>
      </c>
      <c r="G1172">
        <v>1.02590637099613</v>
      </c>
      <c r="H1172">
        <v>0.61744456177402296</v>
      </c>
      <c r="I1172">
        <v>1.27624076029567</v>
      </c>
      <c r="J1172">
        <v>1.0067581837381201</v>
      </c>
      <c r="K1172">
        <v>0.87905667018655398</v>
      </c>
      <c r="L1172">
        <v>15000</v>
      </c>
      <c r="M1172">
        <v>212.30218139327999</v>
      </c>
      <c r="Q1172">
        <v>0</v>
      </c>
      <c r="R1172">
        <v>2.5003975461811701E-2</v>
      </c>
      <c r="S1172" t="s">
        <v>3046</v>
      </c>
      <c r="T1172" t="s">
        <v>3746</v>
      </c>
      <c r="U1172" t="s">
        <v>3746</v>
      </c>
      <c r="V1172" t="s">
        <v>3746</v>
      </c>
      <c r="W1172" t="s">
        <v>4906</v>
      </c>
      <c r="X1172">
        <v>1</v>
      </c>
      <c r="Y1172" t="s">
        <v>6702</v>
      </c>
      <c r="Z1172" t="s">
        <v>8560</v>
      </c>
      <c r="AA1172">
        <v>0.9986097050812518</v>
      </c>
      <c r="AB1172" t="str">
        <f>HYPERLINK("Melting_Curves/meltCurve_P40617_ARL4A.pdf", "Melting_Curves/meltCurve_P40617_ARL4A.pdf")</f>
        <v>Melting_Curves/meltCurve_P40617_ARL4A.pdf</v>
      </c>
    </row>
    <row r="1173" spans="1:28" x14ac:dyDescent="0.25">
      <c r="A1173" t="s">
        <v>1177</v>
      </c>
      <c r="B1173">
        <v>1</v>
      </c>
      <c r="C1173">
        <v>0.99274858448395797</v>
      </c>
      <c r="D1173">
        <v>1.5412734677659701</v>
      </c>
      <c r="E1173">
        <v>3.6166186550114201</v>
      </c>
      <c r="F1173">
        <v>3.7418297407370602</v>
      </c>
      <c r="G1173">
        <v>4.3256183570080502</v>
      </c>
      <c r="H1173">
        <v>2.6116022648256698</v>
      </c>
      <c r="I1173">
        <v>3.6531240687394502</v>
      </c>
      <c r="J1173">
        <v>3.81697625906427</v>
      </c>
      <c r="K1173">
        <v>3.57613986291845</v>
      </c>
      <c r="L1173">
        <v>11062.477451217301</v>
      </c>
      <c r="M1173">
        <v>250</v>
      </c>
      <c r="O1173">
        <v>44.247080814494097</v>
      </c>
      <c r="P1173">
        <v>0.70626132557849597</v>
      </c>
      <c r="Q1173">
        <v>1.5</v>
      </c>
      <c r="R1173">
        <v>-1.3114129138289301</v>
      </c>
      <c r="S1173" t="s">
        <v>3047</v>
      </c>
      <c r="T1173" t="s">
        <v>3746</v>
      </c>
      <c r="U1173" t="s">
        <v>3746</v>
      </c>
      <c r="V1173" t="s">
        <v>3746</v>
      </c>
      <c r="W1173" t="s">
        <v>4907</v>
      </c>
      <c r="X1173">
        <v>13</v>
      </c>
      <c r="Y1173" t="s">
        <v>6703</v>
      </c>
      <c r="Z1173" t="s">
        <v>8561</v>
      </c>
      <c r="AA1173">
        <v>1.4291293409673249</v>
      </c>
      <c r="AB1173" t="str">
        <f>HYPERLINK("Melting_Curves/meltCurve_P40925_MDH1.pdf", "Melting_Curves/meltCurve_P40925_MDH1.pdf")</f>
        <v>Melting_Curves/meltCurve_P40925_MDH1.pdf</v>
      </c>
    </row>
    <row r="1174" spans="1:28" x14ac:dyDescent="0.25">
      <c r="A1174" t="s">
        <v>1178</v>
      </c>
      <c r="B1174">
        <v>1</v>
      </c>
      <c r="C1174">
        <v>1.1385304187516501</v>
      </c>
      <c r="D1174">
        <v>1.48108617606698</v>
      </c>
      <c r="E1174">
        <v>2.3113815616206699</v>
      </c>
      <c r="F1174">
        <v>1.68360062653341</v>
      </c>
      <c r="G1174">
        <v>2.10651068017687</v>
      </c>
      <c r="H1174">
        <v>1.6854026031631599</v>
      </c>
      <c r="I1174">
        <v>2.4506882164589801</v>
      </c>
      <c r="J1174">
        <v>2.4924109061170201</v>
      </c>
      <c r="K1174">
        <v>2.28767863826012</v>
      </c>
      <c r="L1174">
        <v>3075.5262099008501</v>
      </c>
      <c r="M1174">
        <v>70.726750500687402</v>
      </c>
      <c r="O1174">
        <v>43.449900664944998</v>
      </c>
      <c r="P1174">
        <v>0.20347217961851699</v>
      </c>
      <c r="Q1174">
        <v>1.5</v>
      </c>
      <c r="R1174">
        <v>-0.35399245348380998</v>
      </c>
      <c r="S1174" t="s">
        <v>3048</v>
      </c>
      <c r="T1174" t="s">
        <v>3746</v>
      </c>
      <c r="U1174" t="s">
        <v>3746</v>
      </c>
      <c r="V1174" t="s">
        <v>3746</v>
      </c>
      <c r="W1174" t="s">
        <v>4908</v>
      </c>
      <c r="X1174">
        <v>6</v>
      </c>
      <c r="Y1174" t="s">
        <v>6704</v>
      </c>
      <c r="Z1174" t="s">
        <v>8562</v>
      </c>
      <c r="AA1174">
        <v>1.4414271375525629</v>
      </c>
      <c r="AB1174" t="str">
        <f>HYPERLINK("Melting_Curves/meltCurve_P41091_EIF2S3.pdf", "Melting_Curves/meltCurve_P41091_EIF2S3.pdf")</f>
        <v>Melting_Curves/meltCurve_P41091_EIF2S3.pdf</v>
      </c>
    </row>
    <row r="1175" spans="1:28" x14ac:dyDescent="0.25">
      <c r="A1175" t="s">
        <v>1179</v>
      </c>
      <c r="B1175">
        <v>1</v>
      </c>
      <c r="C1175">
        <v>1.1606378612886199</v>
      </c>
      <c r="D1175">
        <v>1.3057982060151301</v>
      </c>
      <c r="E1175">
        <v>1.6934982705047801</v>
      </c>
      <c r="F1175">
        <v>1.05141584100369</v>
      </c>
      <c r="G1175">
        <v>1.1823884622149301</v>
      </c>
      <c r="H1175">
        <v>0.59013894588731897</v>
      </c>
      <c r="I1175">
        <v>1.1064079263645401</v>
      </c>
      <c r="J1175">
        <v>1.1879580230990201</v>
      </c>
      <c r="K1175">
        <v>1.13355220730492</v>
      </c>
      <c r="L1175">
        <v>15000</v>
      </c>
      <c r="M1175">
        <v>235.045804319279</v>
      </c>
      <c r="O1175">
        <v>63.812728497789102</v>
      </c>
      <c r="P1175">
        <v>0.14803755378685199</v>
      </c>
      <c r="Q1175">
        <v>1.16076322203852</v>
      </c>
      <c r="R1175">
        <v>-0.20365718114903</v>
      </c>
      <c r="S1175" t="s">
        <v>3049</v>
      </c>
      <c r="T1175" t="s">
        <v>3746</v>
      </c>
      <c r="U1175" t="s">
        <v>3746</v>
      </c>
      <c r="V1175" t="s">
        <v>3746</v>
      </c>
      <c r="W1175" t="s">
        <v>4909</v>
      </c>
      <c r="X1175">
        <v>5</v>
      </c>
      <c r="Y1175" t="s">
        <v>6705</v>
      </c>
      <c r="Z1175" t="s">
        <v>8563</v>
      </c>
      <c r="AA1175">
        <v>1.0331110629260329</v>
      </c>
      <c r="AB1175" t="str">
        <f>HYPERLINK("Melting_Curves/meltCurve_P41236_PPP1R2.pdf", "Melting_Curves/meltCurve_P41236_PPP1R2.pdf")</f>
        <v>Melting_Curves/meltCurve_P41236_PPP1R2.pdf</v>
      </c>
    </row>
    <row r="1176" spans="1:28" x14ac:dyDescent="0.25">
      <c r="A1176" t="s">
        <v>1180</v>
      </c>
      <c r="B1176">
        <v>1</v>
      </c>
      <c r="C1176">
        <v>1.14992672753917</v>
      </c>
      <c r="D1176">
        <v>1.7128846804193401</v>
      </c>
      <c r="E1176">
        <v>2.22675008454515</v>
      </c>
      <c r="F1176">
        <v>1.9678164806673399</v>
      </c>
      <c r="G1176">
        <v>2.2651335813324298</v>
      </c>
      <c r="H1176">
        <v>1.6863375042272599</v>
      </c>
      <c r="I1176">
        <v>2.7067410663961202</v>
      </c>
      <c r="J1176">
        <v>2.84708601059633</v>
      </c>
      <c r="K1176">
        <v>2.5621125014090902</v>
      </c>
      <c r="S1176" t="s">
        <v>3050</v>
      </c>
      <c r="T1176" t="s">
        <v>3746</v>
      </c>
      <c r="U1176" t="s">
        <v>3747</v>
      </c>
      <c r="V1176" t="s">
        <v>3746</v>
      </c>
      <c r="W1176" t="s">
        <v>4910</v>
      </c>
      <c r="X1176">
        <v>3</v>
      </c>
      <c r="Y1176" t="s">
        <v>6706</v>
      </c>
      <c r="Z1176" t="s">
        <v>8564</v>
      </c>
      <c r="AB1176" t="str">
        <f>HYPERLINK("Melting_Curves/meltCurve_P41250_GARS.pdf", "Melting_Curves/meltCurve_P41250_GARS.pdf")</f>
        <v>Melting_Curves/meltCurve_P41250_GARS.pdf</v>
      </c>
    </row>
    <row r="1177" spans="1:28" x14ac:dyDescent="0.25">
      <c r="A1177" t="s">
        <v>1181</v>
      </c>
      <c r="B1177">
        <v>1</v>
      </c>
      <c r="C1177">
        <v>0.84354437783301695</v>
      </c>
      <c r="D1177">
        <v>1.47653165667495</v>
      </c>
      <c r="E1177">
        <v>1.5907296388360901</v>
      </c>
      <c r="F1177">
        <v>0.88024564994882304</v>
      </c>
      <c r="G1177">
        <v>1.2182580299264001</v>
      </c>
      <c r="H1177">
        <v>0.93907491348637695</v>
      </c>
      <c r="I1177">
        <v>1.20729151435395</v>
      </c>
      <c r="J1177">
        <v>1.43895306331335</v>
      </c>
      <c r="K1177">
        <v>1.2065604133157899</v>
      </c>
      <c r="L1177">
        <v>11091.8125672485</v>
      </c>
      <c r="M1177">
        <v>250</v>
      </c>
      <c r="O1177">
        <v>44.364395645914698</v>
      </c>
      <c r="P1177">
        <v>0.34473303727836002</v>
      </c>
      <c r="Q1177">
        <v>1.24470205091964</v>
      </c>
      <c r="R1177">
        <v>0.24929467930278101</v>
      </c>
      <c r="S1177" t="s">
        <v>3051</v>
      </c>
      <c r="T1177" t="s">
        <v>3746</v>
      </c>
      <c r="U1177" t="s">
        <v>3746</v>
      </c>
      <c r="V1177" t="s">
        <v>3746</v>
      </c>
      <c r="W1177" t="s">
        <v>4911</v>
      </c>
      <c r="X1177">
        <v>2</v>
      </c>
      <c r="Y1177" t="s">
        <v>6707</v>
      </c>
      <c r="Z1177" t="s">
        <v>8565</v>
      </c>
      <c r="AA1177">
        <v>1.209060494223132</v>
      </c>
      <c r="AB1177" t="str">
        <f>HYPERLINK("Melting_Curves/meltCurve_P42025_ACTR1B.pdf", "Melting_Curves/meltCurve_P42025_ACTR1B.pdf")</f>
        <v>Melting_Curves/meltCurve_P42025_ACTR1B.pdf</v>
      </c>
    </row>
    <row r="1178" spans="1:28" x14ac:dyDescent="0.25">
      <c r="A1178" t="s">
        <v>1182</v>
      </c>
      <c r="B1178">
        <v>1</v>
      </c>
      <c r="C1178">
        <v>1.0123135057658501</v>
      </c>
      <c r="D1178">
        <v>1.2412535018568001</v>
      </c>
      <c r="E1178">
        <v>1.6627141833344199</v>
      </c>
      <c r="F1178">
        <v>1.33748126913805</v>
      </c>
      <c r="G1178">
        <v>1.4530588311942101</v>
      </c>
      <c r="H1178">
        <v>0.79653397615479804</v>
      </c>
      <c r="I1178">
        <v>1.65470063196299</v>
      </c>
      <c r="J1178">
        <v>1.76102677698873</v>
      </c>
      <c r="K1178">
        <v>1.68506091602059</v>
      </c>
      <c r="L1178">
        <v>11499.2593749486</v>
      </c>
      <c r="M1178">
        <v>250</v>
      </c>
      <c r="O1178">
        <v>45.9940940131414</v>
      </c>
      <c r="P1178">
        <v>0.65042834419196105</v>
      </c>
      <c r="Q1178">
        <v>1.47865379783004</v>
      </c>
      <c r="R1178">
        <v>0.35029751645813301</v>
      </c>
      <c r="S1178" t="s">
        <v>3052</v>
      </c>
      <c r="T1178" t="s">
        <v>3746</v>
      </c>
      <c r="U1178" t="s">
        <v>3746</v>
      </c>
      <c r="V1178" t="s">
        <v>3746</v>
      </c>
      <c r="W1178" t="s">
        <v>4912</v>
      </c>
      <c r="X1178">
        <v>6</v>
      </c>
      <c r="Y1178" t="s">
        <v>6708</v>
      </c>
      <c r="Z1178" t="s">
        <v>8566</v>
      </c>
      <c r="AA1178">
        <v>1.3829316664400151</v>
      </c>
      <c r="AB1178" t="str">
        <f>HYPERLINK("Melting_Curves/meltCurve_P42330_AKR1C3.pdf", "Melting_Curves/meltCurve_P42330_AKR1C3.pdf")</f>
        <v>Melting_Curves/meltCurve_P42330_AKR1C3.pdf</v>
      </c>
    </row>
    <row r="1179" spans="1:28" x14ac:dyDescent="0.25">
      <c r="A1179" t="s">
        <v>1183</v>
      </c>
      <c r="B1179">
        <v>1</v>
      </c>
      <c r="C1179">
        <v>1.05221394282439</v>
      </c>
      <c r="D1179">
        <v>1.20985885218887</v>
      </c>
      <c r="E1179">
        <v>1.2248155047646301</v>
      </c>
      <c r="F1179">
        <v>0.97302428888729697</v>
      </c>
      <c r="G1179">
        <v>1.20858708891596</v>
      </c>
      <c r="H1179">
        <v>0.61648276850326</v>
      </c>
      <c r="I1179">
        <v>0.79338324854911502</v>
      </c>
      <c r="J1179">
        <v>0.94604857777459295</v>
      </c>
      <c r="K1179">
        <v>0.78012825105681705</v>
      </c>
      <c r="L1179">
        <v>3785.1137562407498</v>
      </c>
      <c r="M1179">
        <v>64.087210516418693</v>
      </c>
      <c r="O1179">
        <v>59.004493653759504</v>
      </c>
      <c r="P1179">
        <v>-5.7543211747367998E-2</v>
      </c>
      <c r="Q1179">
        <v>0.78808208675754399</v>
      </c>
      <c r="R1179">
        <v>0.43693947345814199</v>
      </c>
      <c r="S1179" t="s">
        <v>3053</v>
      </c>
      <c r="T1179" t="s">
        <v>3746</v>
      </c>
      <c r="U1179" t="s">
        <v>3746</v>
      </c>
      <c r="V1179" t="s">
        <v>3746</v>
      </c>
      <c r="W1179" t="s">
        <v>4913</v>
      </c>
      <c r="X1179">
        <v>1</v>
      </c>
      <c r="Y1179" t="s">
        <v>6709</v>
      </c>
      <c r="Z1179" t="s">
        <v>8567</v>
      </c>
      <c r="AA1179">
        <v>0.92306906457851001</v>
      </c>
      <c r="AB1179" t="str">
        <f>HYPERLINK("Melting_Curves/meltCurve_P42574_CASP3.pdf", "Melting_Curves/meltCurve_P42574_CASP3.pdf")</f>
        <v>Melting_Curves/meltCurve_P42574_CASP3.pdf</v>
      </c>
    </row>
    <row r="1180" spans="1:28" x14ac:dyDescent="0.25">
      <c r="A1180" t="s">
        <v>1184</v>
      </c>
      <c r="B1180">
        <v>1</v>
      </c>
      <c r="C1180">
        <v>1.1706207467007601</v>
      </c>
      <c r="D1180">
        <v>1.48603225927736</v>
      </c>
      <c r="E1180">
        <v>2.1015528067075202</v>
      </c>
      <c r="F1180">
        <v>1.70641425724706</v>
      </c>
      <c r="G1180">
        <v>1.8092078053915901</v>
      </c>
      <c r="H1180">
        <v>1.3874121141482101</v>
      </c>
      <c r="I1180">
        <v>2.4030905741248998</v>
      </c>
      <c r="J1180">
        <v>2.6059329999624001</v>
      </c>
      <c r="K1180">
        <v>2.2363424446366098</v>
      </c>
      <c r="L1180">
        <v>3084.9729911962099</v>
      </c>
      <c r="M1180">
        <v>71.250795982947395</v>
      </c>
      <c r="O1180">
        <v>43.263327089502503</v>
      </c>
      <c r="P1180">
        <v>0.20586383140289799</v>
      </c>
      <c r="Q1180">
        <v>1.5</v>
      </c>
      <c r="R1180">
        <v>-0.18647867584796499</v>
      </c>
      <c r="S1180" t="s">
        <v>3054</v>
      </c>
      <c r="T1180" t="s">
        <v>3746</v>
      </c>
      <c r="U1180" t="s">
        <v>3746</v>
      </c>
      <c r="V1180" t="s">
        <v>3746</v>
      </c>
      <c r="W1180" t="s">
        <v>4914</v>
      </c>
      <c r="X1180">
        <v>9</v>
      </c>
      <c r="Y1180" t="s">
        <v>6710</v>
      </c>
      <c r="Z1180" t="s">
        <v>8568</v>
      </c>
      <c r="AA1180">
        <v>1.4445510268338579</v>
      </c>
      <c r="AB1180" t="str">
        <f>HYPERLINK("Melting_Curves/meltCurve_P42785_PRCP.pdf", "Melting_Curves/meltCurve_P42785_PRCP.pdf")</f>
        <v>Melting_Curves/meltCurve_P42785_PRCP.pdf</v>
      </c>
    </row>
    <row r="1181" spans="1:28" x14ac:dyDescent="0.25">
      <c r="A1181" t="s">
        <v>1185</v>
      </c>
      <c r="B1181">
        <v>1</v>
      </c>
      <c r="C1181">
        <v>1.0386379370024199</v>
      </c>
      <c r="D1181">
        <v>1.7664416753201799</v>
      </c>
      <c r="E1181">
        <v>2.6882571824160602</v>
      </c>
      <c r="F1181">
        <v>2.3091034960193801</v>
      </c>
      <c r="G1181">
        <v>2.7762201453790198</v>
      </c>
      <c r="H1181">
        <v>1.65675839390793</v>
      </c>
      <c r="I1181">
        <v>2.6451194184839002</v>
      </c>
      <c r="J1181">
        <v>2.8153340256143999</v>
      </c>
      <c r="K1181">
        <v>2.58406888196608</v>
      </c>
      <c r="L1181">
        <v>10831.387770134101</v>
      </c>
      <c r="M1181">
        <v>250</v>
      </c>
      <c r="O1181">
        <v>43.322779006645099</v>
      </c>
      <c r="P1181">
        <v>0.72132954291076101</v>
      </c>
      <c r="Q1181">
        <v>1.5</v>
      </c>
      <c r="R1181">
        <v>-0.76898989367398496</v>
      </c>
      <c r="S1181" t="s">
        <v>3055</v>
      </c>
      <c r="T1181" t="s">
        <v>3746</v>
      </c>
      <c r="U1181" t="s">
        <v>3746</v>
      </c>
      <c r="V1181" t="s">
        <v>3746</v>
      </c>
      <c r="W1181" t="s">
        <v>4915</v>
      </c>
      <c r="X1181">
        <v>6</v>
      </c>
      <c r="Y1181" t="s">
        <v>6711</v>
      </c>
      <c r="Z1181" t="s">
        <v>8569</v>
      </c>
      <c r="AA1181">
        <v>1.444536130821507</v>
      </c>
      <c r="AB1181" t="str">
        <f>HYPERLINK("Melting_Curves/meltCurve_P43034_PAFAH1B1.pdf", "Melting_Curves/meltCurve_P43034_PAFAH1B1.pdf")</f>
        <v>Melting_Curves/meltCurve_P43034_PAFAH1B1.pdf</v>
      </c>
    </row>
    <row r="1182" spans="1:28" x14ac:dyDescent="0.25">
      <c r="A1182" t="s">
        <v>1186</v>
      </c>
      <c r="B1182">
        <v>1</v>
      </c>
      <c r="C1182">
        <v>1.0471015562708601</v>
      </c>
      <c r="D1182">
        <v>1.36712636210613</v>
      </c>
      <c r="E1182">
        <v>1.5097894457076999</v>
      </c>
      <c r="F1182">
        <v>1.06414080264596</v>
      </c>
      <c r="G1182">
        <v>1.13719989368928</v>
      </c>
      <c r="H1182">
        <v>0.67421669668960205</v>
      </c>
      <c r="I1182">
        <v>1.0918111212828201</v>
      </c>
      <c r="J1182">
        <v>1.0420517969465199</v>
      </c>
      <c r="K1182">
        <v>0.96305702389038195</v>
      </c>
      <c r="L1182">
        <v>971.62979235485705</v>
      </c>
      <c r="M1182">
        <v>9.7766161254590607</v>
      </c>
      <c r="Q1182">
        <v>0</v>
      </c>
      <c r="R1182">
        <v>-0.17500188964921601</v>
      </c>
      <c r="S1182" t="s">
        <v>3056</v>
      </c>
      <c r="T1182" t="s">
        <v>3746</v>
      </c>
      <c r="U1182" t="s">
        <v>3746</v>
      </c>
      <c r="V1182" t="s">
        <v>3746</v>
      </c>
      <c r="W1182" t="s">
        <v>4916</v>
      </c>
      <c r="X1182">
        <v>6</v>
      </c>
      <c r="Y1182" t="s">
        <v>6712</v>
      </c>
      <c r="Z1182" t="s">
        <v>8570</v>
      </c>
      <c r="AA1182">
        <v>0.99757790137505409</v>
      </c>
      <c r="AB1182" t="str">
        <f>HYPERLINK("Melting_Curves/meltCurve_P43121_MCAM.pdf", "Melting_Curves/meltCurve_P43121_MCAM.pdf")</f>
        <v>Melting_Curves/meltCurve_P43121_MCAM.pdf</v>
      </c>
    </row>
    <row r="1183" spans="1:28" x14ac:dyDescent="0.25">
      <c r="A1183" t="s">
        <v>1187</v>
      </c>
      <c r="B1183">
        <v>1</v>
      </c>
      <c r="C1183">
        <v>1.13864727506478</v>
      </c>
      <c r="D1183">
        <v>1.66955264056568</v>
      </c>
      <c r="E1183">
        <v>2.1464012374199002</v>
      </c>
      <c r="F1183">
        <v>1.65701773769109</v>
      </c>
      <c r="G1183">
        <v>1.8759566903035301</v>
      </c>
      <c r="H1183">
        <v>1.02326188706535</v>
      </c>
      <c r="I1183">
        <v>1.70088989775215</v>
      </c>
      <c r="J1183">
        <v>1.75038669371849</v>
      </c>
      <c r="K1183">
        <v>1.6033426407665601</v>
      </c>
      <c r="L1183">
        <v>10766.094789987301</v>
      </c>
      <c r="M1183">
        <v>250</v>
      </c>
      <c r="O1183">
        <v>43.061623560955397</v>
      </c>
      <c r="P1183">
        <v>0.72570417981058299</v>
      </c>
      <c r="Q1183">
        <v>1.5</v>
      </c>
      <c r="R1183">
        <v>0.26770382346719102</v>
      </c>
      <c r="S1183" t="s">
        <v>3057</v>
      </c>
      <c r="T1183" t="s">
        <v>3746</v>
      </c>
      <c r="U1183" t="s">
        <v>3746</v>
      </c>
      <c r="V1183" t="s">
        <v>3746</v>
      </c>
      <c r="W1183" t="s">
        <v>4917</v>
      </c>
      <c r="X1183">
        <v>22</v>
      </c>
      <c r="Y1183" t="s">
        <v>6713</v>
      </c>
      <c r="Z1183" t="s">
        <v>8571</v>
      </c>
      <c r="AA1183">
        <v>1.4488892253314201</v>
      </c>
      <c r="AB1183" t="str">
        <f>HYPERLINK("Melting_Curves/meltCurve_P43490_NAMPT.pdf", "Melting_Curves/meltCurve_P43490_NAMPT.pdf")</f>
        <v>Melting_Curves/meltCurve_P43490_NAMPT.pdf</v>
      </c>
    </row>
    <row r="1184" spans="1:28" x14ac:dyDescent="0.25">
      <c r="A1184" t="s">
        <v>1188</v>
      </c>
      <c r="B1184">
        <v>1</v>
      </c>
      <c r="C1184">
        <v>1.03223951344475</v>
      </c>
      <c r="D1184">
        <v>1.33215412230103</v>
      </c>
      <c r="E1184">
        <v>1.5802938152414501</v>
      </c>
      <c r="F1184">
        <v>1.0008190579091401</v>
      </c>
      <c r="G1184">
        <v>1.1783280762595201</v>
      </c>
      <c r="H1184">
        <v>0.69294041789380101</v>
      </c>
      <c r="I1184">
        <v>1.06568147360717</v>
      </c>
      <c r="J1184">
        <v>1.0628757645992699</v>
      </c>
      <c r="K1184">
        <v>1.00726696059809</v>
      </c>
      <c r="L1184">
        <v>1664.91989093352</v>
      </c>
      <c r="M1184">
        <v>24.573621507867301</v>
      </c>
      <c r="O1184">
        <v>67.308414406723799</v>
      </c>
      <c r="P1184">
        <v>3.4265282822347801E-3</v>
      </c>
      <c r="Q1184">
        <v>1.03754121251174</v>
      </c>
      <c r="R1184">
        <v>-0.18232732235667901</v>
      </c>
      <c r="S1184" t="s">
        <v>3058</v>
      </c>
      <c r="T1184" t="s">
        <v>3746</v>
      </c>
      <c r="U1184" t="s">
        <v>3746</v>
      </c>
      <c r="V1184" t="s">
        <v>3746</v>
      </c>
      <c r="W1184" t="s">
        <v>4918</v>
      </c>
      <c r="X1184">
        <v>21</v>
      </c>
      <c r="Y1184" t="s">
        <v>6714</v>
      </c>
      <c r="Z1184" t="s">
        <v>8572</v>
      </c>
      <c r="AA1184">
        <v>1.0038667777282739</v>
      </c>
      <c r="AB1184" t="str">
        <f>HYPERLINK("Melting_Curves/meltCurve_P43652_AFM.pdf", "Melting_Curves/meltCurve_P43652_AFM.pdf")</f>
        <v>Melting_Curves/meltCurve_P43652_AFM.pdf</v>
      </c>
    </row>
    <row r="1185" spans="1:28" x14ac:dyDescent="0.25">
      <c r="A1185" t="s">
        <v>1189</v>
      </c>
      <c r="B1185">
        <v>1</v>
      </c>
      <c r="C1185">
        <v>1.14444350018413</v>
      </c>
      <c r="D1185">
        <v>1.83074133877227</v>
      </c>
      <c r="E1185">
        <v>3.7197246536925301</v>
      </c>
      <c r="F1185">
        <v>2.76989320415852</v>
      </c>
      <c r="G1185">
        <v>3.9653267612815499</v>
      </c>
      <c r="H1185">
        <v>2.73765615704938</v>
      </c>
      <c r="I1185">
        <v>4.3188578227245698</v>
      </c>
      <c r="J1185">
        <v>4.1794850004249202</v>
      </c>
      <c r="K1185">
        <v>3.8596640321803899</v>
      </c>
      <c r="L1185">
        <v>10763.644078060701</v>
      </c>
      <c r="M1185">
        <v>250</v>
      </c>
      <c r="O1185">
        <v>43.051821258262699</v>
      </c>
      <c r="P1185">
        <v>0.725869411202273</v>
      </c>
      <c r="Q1185">
        <v>1.5</v>
      </c>
      <c r="R1185">
        <v>-1.4564236846421601</v>
      </c>
      <c r="S1185" t="s">
        <v>3059</v>
      </c>
      <c r="T1185" t="s">
        <v>3746</v>
      </c>
      <c r="U1185" t="s">
        <v>3746</v>
      </c>
      <c r="V1185" t="s">
        <v>3746</v>
      </c>
      <c r="W1185" t="s">
        <v>4919</v>
      </c>
      <c r="X1185">
        <v>3</v>
      </c>
      <c r="Y1185" t="s">
        <v>6715</v>
      </c>
      <c r="Z1185" t="s">
        <v>8573</v>
      </c>
      <c r="AA1185">
        <v>1.449052614727699</v>
      </c>
      <c r="AB1185" t="str">
        <f>HYPERLINK("Melting_Curves/meltCurve_P43686_PSMC4.pdf", "Melting_Curves/meltCurve_P43686_PSMC4.pdf")</f>
        <v>Melting_Curves/meltCurve_P43686_PSMC4.pdf</v>
      </c>
    </row>
    <row r="1186" spans="1:28" x14ac:dyDescent="0.25">
      <c r="A1186" t="s">
        <v>1190</v>
      </c>
      <c r="B1186">
        <v>1</v>
      </c>
      <c r="C1186">
        <v>1.0137732222933999</v>
      </c>
      <c r="D1186">
        <v>1.4851057014734099</v>
      </c>
      <c r="E1186">
        <v>1.98398462524023</v>
      </c>
      <c r="F1186">
        <v>1.4297725816784099</v>
      </c>
      <c r="G1186">
        <v>1.8456918641896201</v>
      </c>
      <c r="H1186">
        <v>1.1195547725816799</v>
      </c>
      <c r="I1186">
        <v>1.9539557975656601</v>
      </c>
      <c r="J1186">
        <v>1.77626521460602</v>
      </c>
      <c r="K1186">
        <v>1.80164958360026</v>
      </c>
      <c r="L1186">
        <v>4516.1995387609604</v>
      </c>
      <c r="M1186">
        <v>101.69107112915999</v>
      </c>
      <c r="O1186">
        <v>44.393807155079401</v>
      </c>
      <c r="P1186">
        <v>0.28633238365307701</v>
      </c>
      <c r="Q1186">
        <v>1.5</v>
      </c>
      <c r="R1186">
        <v>0.34889643927576203</v>
      </c>
      <c r="S1186" t="s">
        <v>3060</v>
      </c>
      <c r="T1186" t="s">
        <v>3746</v>
      </c>
      <c r="U1186" t="s">
        <v>3746</v>
      </c>
      <c r="V1186" t="s">
        <v>3746</v>
      </c>
      <c r="W1186" t="s">
        <v>4920</v>
      </c>
      <c r="X1186">
        <v>4</v>
      </c>
      <c r="Y1186" t="s">
        <v>6716</v>
      </c>
      <c r="Z1186" t="s">
        <v>8574</v>
      </c>
      <c r="AA1186">
        <v>1.426247890236942</v>
      </c>
      <c r="AB1186" t="str">
        <f>HYPERLINK("Melting_Curves/meltCurve_P45381_ASPA.pdf", "Melting_Curves/meltCurve_P45381_ASPA.pdf")</f>
        <v>Melting_Curves/meltCurve_P45381_ASPA.pdf</v>
      </c>
    </row>
    <row r="1187" spans="1:28" x14ac:dyDescent="0.25">
      <c r="A1187" t="s">
        <v>1191</v>
      </c>
      <c r="B1187">
        <v>1</v>
      </c>
      <c r="C1187">
        <v>0.93454998248959098</v>
      </c>
      <c r="D1187">
        <v>1.6135647301451399</v>
      </c>
      <c r="E1187">
        <v>2.0763453830888401</v>
      </c>
      <c r="F1187">
        <v>1.55926300634266</v>
      </c>
      <c r="G1187">
        <v>1.87906144207946</v>
      </c>
      <c r="H1187">
        <v>1.3404412623059301</v>
      </c>
      <c r="I1187">
        <v>2.5553523483404001</v>
      </c>
      <c r="J1187">
        <v>2.58395268298377</v>
      </c>
      <c r="K1187">
        <v>2.35787384723141</v>
      </c>
      <c r="L1187">
        <v>11088.3003549272</v>
      </c>
      <c r="M1187">
        <v>250</v>
      </c>
      <c r="O1187">
        <v>44.350386268881401</v>
      </c>
      <c r="P1187">
        <v>0.70461655131776402</v>
      </c>
      <c r="Q1187">
        <v>1.5</v>
      </c>
      <c r="R1187">
        <v>-8.4323384804716905E-2</v>
      </c>
      <c r="S1187" t="s">
        <v>3061</v>
      </c>
      <c r="T1187" t="s">
        <v>3746</v>
      </c>
      <c r="U1187" t="s">
        <v>3746</v>
      </c>
      <c r="V1187" t="s">
        <v>3746</v>
      </c>
      <c r="W1187" t="s">
        <v>4921</v>
      </c>
      <c r="X1187">
        <v>1</v>
      </c>
      <c r="Y1187" t="s">
        <v>6717</v>
      </c>
      <c r="Z1187" t="s">
        <v>8575</v>
      </c>
      <c r="AA1187">
        <v>1.4274077234157481</v>
      </c>
      <c r="AB1187" t="str">
        <f>HYPERLINK("Melting_Curves/meltCurve_P45877_PPIC.pdf", "Melting_Curves/meltCurve_P45877_PPIC.pdf")</f>
        <v>Melting_Curves/meltCurve_P45877_PPIC.pdf</v>
      </c>
    </row>
    <row r="1188" spans="1:28" x14ac:dyDescent="0.25">
      <c r="A1188" t="s">
        <v>1192</v>
      </c>
      <c r="B1188">
        <v>1</v>
      </c>
      <c r="C1188">
        <v>1.10794311481096</v>
      </c>
      <c r="D1188">
        <v>1.6309168690022</v>
      </c>
      <c r="E1188">
        <v>2.8192854665279201</v>
      </c>
      <c r="F1188">
        <v>2.17750028905076</v>
      </c>
      <c r="G1188">
        <v>2.57856399583767</v>
      </c>
      <c r="H1188">
        <v>1.6090415076887501</v>
      </c>
      <c r="I1188">
        <v>2.6927968551277601</v>
      </c>
      <c r="J1188">
        <v>2.51335414498786</v>
      </c>
      <c r="K1188">
        <v>2.3944964735807601</v>
      </c>
      <c r="L1188">
        <v>10780.332479954101</v>
      </c>
      <c r="M1188">
        <v>250</v>
      </c>
      <c r="O1188">
        <v>43.118570447308997</v>
      </c>
      <c r="P1188">
        <v>0.72474573524168595</v>
      </c>
      <c r="Q1188">
        <v>1.5</v>
      </c>
      <c r="R1188">
        <v>-0.66290560232121898</v>
      </c>
      <c r="S1188" t="s">
        <v>3062</v>
      </c>
      <c r="T1188" t="s">
        <v>3746</v>
      </c>
      <c r="U1188" t="s">
        <v>3746</v>
      </c>
      <c r="V1188" t="s">
        <v>3746</v>
      </c>
      <c r="W1188" t="s">
        <v>4922</v>
      </c>
      <c r="X1188">
        <v>4</v>
      </c>
      <c r="Y1188" t="s">
        <v>6718</v>
      </c>
      <c r="Z1188" t="s">
        <v>8576</v>
      </c>
      <c r="AA1188">
        <v>1.447939996030005</v>
      </c>
      <c r="AB1188" t="str">
        <f>HYPERLINK("Melting_Curves/meltCurve_P45974_2_USP5.pdf", "Melting_Curves/meltCurve_P45974_2_USP5.pdf")</f>
        <v>Melting_Curves/meltCurve_P45974_2_USP5.pdf</v>
      </c>
    </row>
    <row r="1189" spans="1:28" x14ac:dyDescent="0.25">
      <c r="A1189" t="s">
        <v>1193</v>
      </c>
      <c r="B1189">
        <v>1</v>
      </c>
      <c r="C1189">
        <v>0.90329920364050098</v>
      </c>
      <c r="D1189">
        <v>1.1371558589305999</v>
      </c>
      <c r="E1189">
        <v>1.63858930602958</v>
      </c>
      <c r="F1189">
        <v>1.01328782707622</v>
      </c>
      <c r="G1189">
        <v>1.62038680318544</v>
      </c>
      <c r="H1189">
        <v>0.97419795221842997</v>
      </c>
      <c r="I1189">
        <v>1.64150170648464</v>
      </c>
      <c r="J1189">
        <v>1.5183617747440299</v>
      </c>
      <c r="K1189">
        <v>1.22225255972696</v>
      </c>
      <c r="L1189">
        <v>11525.4216410811</v>
      </c>
      <c r="M1189">
        <v>250</v>
      </c>
      <c r="O1189">
        <v>46.098722240622003</v>
      </c>
      <c r="P1189">
        <v>0.50911256242024805</v>
      </c>
      <c r="Q1189">
        <v>1.37551113281008</v>
      </c>
      <c r="R1189">
        <v>0.34984960810805099</v>
      </c>
      <c r="S1189" t="s">
        <v>3063</v>
      </c>
      <c r="T1189" t="s">
        <v>3746</v>
      </c>
      <c r="U1189" t="s">
        <v>3746</v>
      </c>
      <c r="V1189" t="s">
        <v>3746</v>
      </c>
      <c r="W1189" t="s">
        <v>4923</v>
      </c>
      <c r="X1189">
        <v>2</v>
      </c>
      <c r="Y1189" t="s">
        <v>6719</v>
      </c>
      <c r="Z1189" t="s">
        <v>8577</v>
      </c>
      <c r="AA1189">
        <v>1.2991057099246881</v>
      </c>
      <c r="AB1189" t="str">
        <f>HYPERLINK("Melting_Curves/meltCurve_P46108_2_CRK.pdf", "Melting_Curves/meltCurve_P46108_2_CRK.pdf")</f>
        <v>Melting_Curves/meltCurve_P46108_2_CRK.pdf</v>
      </c>
    </row>
    <row r="1190" spans="1:28" x14ac:dyDescent="0.25">
      <c r="A1190" t="s">
        <v>1194</v>
      </c>
      <c r="B1190">
        <v>1</v>
      </c>
      <c r="C1190">
        <v>0.94810446503791102</v>
      </c>
      <c r="D1190">
        <v>1.0547598989047999</v>
      </c>
      <c r="E1190">
        <v>1.95290648694187</v>
      </c>
      <c r="F1190">
        <v>1.3965459140690799</v>
      </c>
      <c r="G1190">
        <v>1.50370682392586</v>
      </c>
      <c r="H1190">
        <v>0.96284751474304997</v>
      </c>
      <c r="I1190">
        <v>2.27885425442292</v>
      </c>
      <c r="J1190">
        <v>2.0160909856781801</v>
      </c>
      <c r="K1190">
        <v>1.39823083403538</v>
      </c>
      <c r="L1190">
        <v>11596.400097956999</v>
      </c>
      <c r="M1190">
        <v>250</v>
      </c>
      <c r="O1190">
        <v>46.3826314423913</v>
      </c>
      <c r="P1190">
        <v>0.67374356897973797</v>
      </c>
      <c r="Q1190">
        <v>1.5</v>
      </c>
      <c r="R1190">
        <v>0.34313807171956701</v>
      </c>
      <c r="S1190" t="s">
        <v>3064</v>
      </c>
      <c r="T1190" t="s">
        <v>3746</v>
      </c>
      <c r="U1190" t="s">
        <v>3746</v>
      </c>
      <c r="V1190" t="s">
        <v>3746</v>
      </c>
      <c r="W1190" t="s">
        <v>4924</v>
      </c>
      <c r="X1190">
        <v>1</v>
      </c>
      <c r="Y1190" t="s">
        <v>6720</v>
      </c>
      <c r="Z1190" t="s">
        <v>8578</v>
      </c>
      <c r="AA1190">
        <v>1.393532623799483</v>
      </c>
      <c r="AB1190" t="str">
        <f>HYPERLINK("Melting_Curves/meltCurve_P46781_RPS9.pdf", "Melting_Curves/meltCurve_P46781_RPS9.pdf")</f>
        <v>Melting_Curves/meltCurve_P46781_RPS9.pdf</v>
      </c>
    </row>
    <row r="1191" spans="1:28" x14ac:dyDescent="0.25">
      <c r="A1191" t="s">
        <v>1195</v>
      </c>
      <c r="B1191">
        <v>1</v>
      </c>
      <c r="C1191">
        <v>0.98609564415030704</v>
      </c>
      <c r="D1191">
        <v>1.09844411212574</v>
      </c>
      <c r="E1191">
        <v>1.1215756148779801</v>
      </c>
      <c r="F1191">
        <v>0.58710108498520497</v>
      </c>
      <c r="G1191">
        <v>0.52076108053072001</v>
      </c>
      <c r="H1191">
        <v>0.311180756626046</v>
      </c>
      <c r="I1191">
        <v>0.40090362404148999</v>
      </c>
      <c r="J1191">
        <v>0.42476693499634099</v>
      </c>
      <c r="K1191">
        <v>0.35642241242164902</v>
      </c>
      <c r="L1191">
        <v>13207.246695318299</v>
      </c>
      <c r="M1191">
        <v>250</v>
      </c>
      <c r="N1191">
        <v>53.177405864582802</v>
      </c>
      <c r="O1191">
        <v>52.825617847108397</v>
      </c>
      <c r="P1191">
        <v>-0.70656203524970895</v>
      </c>
      <c r="Q1191">
        <v>0.40280691635378302</v>
      </c>
      <c r="R1191">
        <v>0.94957848471341799</v>
      </c>
      <c r="S1191" t="s">
        <v>3065</v>
      </c>
      <c r="T1191" t="s">
        <v>3746</v>
      </c>
      <c r="U1191" t="s">
        <v>3746</v>
      </c>
      <c r="V1191" t="s">
        <v>3746</v>
      </c>
      <c r="W1191" t="s">
        <v>4925</v>
      </c>
      <c r="X1191">
        <v>2</v>
      </c>
      <c r="Y1191" t="s">
        <v>6721</v>
      </c>
      <c r="Z1191" t="s">
        <v>8579</v>
      </c>
      <c r="AA1191">
        <v>0.65824169040846447</v>
      </c>
      <c r="AB1191" t="str">
        <f>HYPERLINK("Melting_Curves/meltCurve_P46783_RPS10.pdf", "Melting_Curves/meltCurve_P46783_RPS10.pdf")</f>
        <v>Melting_Curves/meltCurve_P46783_RPS10.pdf</v>
      </c>
    </row>
    <row r="1192" spans="1:28" x14ac:dyDescent="0.25">
      <c r="A1192" t="s">
        <v>1196</v>
      </c>
      <c r="B1192">
        <v>1</v>
      </c>
      <c r="C1192">
        <v>1.0163785705529</v>
      </c>
      <c r="D1192">
        <v>1.64298148829226</v>
      </c>
      <c r="E1192">
        <v>2.1545666298884401</v>
      </c>
      <c r="F1192">
        <v>1.6759838175799899</v>
      </c>
      <c r="G1192">
        <v>1.82022802500919</v>
      </c>
      <c r="H1192">
        <v>1.48664950349393</v>
      </c>
      <c r="I1192">
        <v>2.4383719504719901</v>
      </c>
      <c r="J1192">
        <v>2.6556331984798298</v>
      </c>
      <c r="K1192">
        <v>2.41537329900699</v>
      </c>
      <c r="L1192">
        <v>10870.2177167356</v>
      </c>
      <c r="M1192">
        <v>250</v>
      </c>
      <c r="O1192">
        <v>43.478086877788499</v>
      </c>
      <c r="P1192">
        <v>0.718752852314827</v>
      </c>
      <c r="Q1192">
        <v>1.5</v>
      </c>
      <c r="R1192">
        <v>-0.201226867373485</v>
      </c>
      <c r="S1192" t="s">
        <v>3066</v>
      </c>
      <c r="T1192" t="s">
        <v>3746</v>
      </c>
      <c r="U1192" t="s">
        <v>3746</v>
      </c>
      <c r="V1192" t="s">
        <v>3746</v>
      </c>
      <c r="W1192" t="s">
        <v>4926</v>
      </c>
      <c r="X1192">
        <v>17</v>
      </c>
      <c r="Y1192" t="s">
        <v>6722</v>
      </c>
      <c r="Z1192" t="s">
        <v>8580</v>
      </c>
      <c r="AA1192">
        <v>1.441947331424263</v>
      </c>
      <c r="AB1192" t="str">
        <f>HYPERLINK("Melting_Curves/meltCurve_P46940_IQGAP1.pdf", "Melting_Curves/meltCurve_P46940_IQGAP1.pdf")</f>
        <v>Melting_Curves/meltCurve_P46940_IQGAP1.pdf</v>
      </c>
    </row>
    <row r="1193" spans="1:28" x14ac:dyDescent="0.25">
      <c r="A1193" t="s">
        <v>1197</v>
      </c>
      <c r="B1193">
        <v>1</v>
      </c>
      <c r="C1193">
        <v>0.839220744856784</v>
      </c>
      <c r="D1193">
        <v>0.91856849904081495</v>
      </c>
      <c r="E1193">
        <v>0.98395845736587995</v>
      </c>
      <c r="F1193">
        <v>0.81593570152808104</v>
      </c>
      <c r="G1193">
        <v>0.63253290996890899</v>
      </c>
      <c r="H1193">
        <v>0.43785142554739698</v>
      </c>
      <c r="I1193">
        <v>0.54891843619765801</v>
      </c>
      <c r="J1193">
        <v>0.64467156181782104</v>
      </c>
      <c r="K1193">
        <v>0.57795858966726199</v>
      </c>
      <c r="L1193">
        <v>1967.76231928231</v>
      </c>
      <c r="M1193">
        <v>36.708664624479098</v>
      </c>
      <c r="O1193">
        <v>53.446506617221701</v>
      </c>
      <c r="P1193">
        <v>-7.6022909275446304E-2</v>
      </c>
      <c r="Q1193">
        <v>0.55725469927613103</v>
      </c>
      <c r="R1193">
        <v>0.83655932011952805</v>
      </c>
      <c r="S1193" t="s">
        <v>3067</v>
      </c>
      <c r="T1193" t="s">
        <v>3746</v>
      </c>
      <c r="U1193" t="s">
        <v>3746</v>
      </c>
      <c r="V1193" t="s">
        <v>3746</v>
      </c>
      <c r="W1193" t="s">
        <v>4927</v>
      </c>
      <c r="X1193">
        <v>12</v>
      </c>
      <c r="Y1193" t="s">
        <v>5856</v>
      </c>
      <c r="Z1193" t="s">
        <v>8581</v>
      </c>
      <c r="AA1193">
        <v>0.75998185319877909</v>
      </c>
      <c r="AB1193" t="str">
        <f>HYPERLINK("Melting_Curves/meltCurve_P47710_2_CSN1S1.pdf", "Melting_Curves/meltCurve_P47710_2_CSN1S1.pdf")</f>
        <v>Melting_Curves/meltCurve_P47710_2_CSN1S1.pdf</v>
      </c>
    </row>
    <row r="1194" spans="1:28" x14ac:dyDescent="0.25">
      <c r="A1194" t="s">
        <v>1198</v>
      </c>
      <c r="B1194">
        <v>1</v>
      </c>
      <c r="C1194">
        <v>0.81303918340467596</v>
      </c>
      <c r="D1194">
        <v>0.865393480408298</v>
      </c>
      <c r="E1194">
        <v>1.02555153111623</v>
      </c>
      <c r="F1194">
        <v>0.46710569641093203</v>
      </c>
      <c r="G1194">
        <v>0.55602897596312195</v>
      </c>
      <c r="H1194">
        <v>0.34697398748765201</v>
      </c>
      <c r="I1194">
        <v>0.50565031280869299</v>
      </c>
      <c r="J1194">
        <v>0.53238063878827802</v>
      </c>
      <c r="K1194">
        <v>0.51366480079025401</v>
      </c>
      <c r="L1194">
        <v>12871.924346509601</v>
      </c>
      <c r="M1194">
        <v>250</v>
      </c>
      <c r="N1194">
        <v>52.248929681648697</v>
      </c>
      <c r="O1194">
        <v>51.484402529717201</v>
      </c>
      <c r="P1194">
        <v>-0.62287743481343705</v>
      </c>
      <c r="Q1194">
        <v>0.48690443945912498</v>
      </c>
      <c r="R1194">
        <v>0.84368211073071897</v>
      </c>
      <c r="S1194" t="s">
        <v>3068</v>
      </c>
      <c r="T1194" t="s">
        <v>3746</v>
      </c>
      <c r="U1194" t="s">
        <v>3746</v>
      </c>
      <c r="V1194" t="s">
        <v>3746</v>
      </c>
      <c r="W1194" t="s">
        <v>4928</v>
      </c>
      <c r="X1194">
        <v>11</v>
      </c>
      <c r="Y1194" t="s">
        <v>5856</v>
      </c>
      <c r="Z1194" t="s">
        <v>8582</v>
      </c>
      <c r="AA1194">
        <v>0.68342702048295356</v>
      </c>
      <c r="AB1194" t="str">
        <f>HYPERLINK("Melting_Curves/meltCurve_P47710_3_CSN1S1.pdf", "Melting_Curves/meltCurve_P47710_3_CSN1S1.pdf")</f>
        <v>Melting_Curves/meltCurve_P47710_3_CSN1S1.pdf</v>
      </c>
    </row>
    <row r="1195" spans="1:28" x14ac:dyDescent="0.25">
      <c r="A1195" t="s">
        <v>1199</v>
      </c>
      <c r="B1195">
        <v>1</v>
      </c>
      <c r="C1195">
        <v>1.03700448573809</v>
      </c>
      <c r="D1195">
        <v>1.6690826494390001</v>
      </c>
      <c r="E1195">
        <v>2.59077056533997</v>
      </c>
      <c r="F1195">
        <v>2.3442261816438599</v>
      </c>
      <c r="G1195">
        <v>2.7248861444339201</v>
      </c>
      <c r="H1195">
        <v>1.4965015808517199</v>
      </c>
      <c r="I1195">
        <v>2.5737635685016702</v>
      </c>
      <c r="J1195">
        <v>2.6622227802444902</v>
      </c>
      <c r="K1195">
        <v>2.3693371836869801</v>
      </c>
      <c r="L1195">
        <v>10833.393030335401</v>
      </c>
      <c r="M1195">
        <v>250</v>
      </c>
      <c r="O1195">
        <v>43.330799823554401</v>
      </c>
      <c r="P1195">
        <v>0.72119602486675205</v>
      </c>
      <c r="Q1195">
        <v>1.5</v>
      </c>
      <c r="R1195">
        <v>-0.60622913272121504</v>
      </c>
      <c r="S1195" t="s">
        <v>3069</v>
      </c>
      <c r="T1195" t="s">
        <v>3746</v>
      </c>
      <c r="U1195" t="s">
        <v>3746</v>
      </c>
      <c r="V1195" t="s">
        <v>3746</v>
      </c>
      <c r="W1195" t="s">
        <v>4929</v>
      </c>
      <c r="X1195">
        <v>5</v>
      </c>
      <c r="Y1195" t="s">
        <v>6723</v>
      </c>
      <c r="Z1195" t="s">
        <v>8583</v>
      </c>
      <c r="AA1195">
        <v>1.444402439769799</v>
      </c>
      <c r="AB1195" t="str">
        <f>HYPERLINK("Melting_Curves/meltCurve_P47755_CAPZA2.pdf", "Melting_Curves/meltCurve_P47755_CAPZA2.pdf")</f>
        <v>Melting_Curves/meltCurve_P47755_CAPZA2.pdf</v>
      </c>
    </row>
    <row r="1196" spans="1:28" x14ac:dyDescent="0.25">
      <c r="A1196" t="s">
        <v>1200</v>
      </c>
      <c r="B1196">
        <v>1</v>
      </c>
      <c r="C1196">
        <v>1.0172317839843299</v>
      </c>
      <c r="D1196">
        <v>1.66608265484902</v>
      </c>
      <c r="E1196">
        <v>2.2541482015871401</v>
      </c>
      <c r="F1196">
        <v>1.85433371122333</v>
      </c>
      <c r="G1196">
        <v>2.2094197670823501</v>
      </c>
      <c r="H1196">
        <v>1.59717613109348</v>
      </c>
      <c r="I1196">
        <v>2.1535607544058499</v>
      </c>
      <c r="J1196">
        <v>2.3553540142224101</v>
      </c>
      <c r="K1196">
        <v>2.1535607544058499</v>
      </c>
      <c r="S1196" t="s">
        <v>3070</v>
      </c>
      <c r="T1196" t="s">
        <v>3746</v>
      </c>
      <c r="U1196" t="s">
        <v>3747</v>
      </c>
      <c r="V1196" t="s">
        <v>3746</v>
      </c>
      <c r="W1196" t="s">
        <v>4930</v>
      </c>
      <c r="X1196">
        <v>11</v>
      </c>
      <c r="Y1196" t="s">
        <v>6724</v>
      </c>
      <c r="Z1196" t="s">
        <v>8584</v>
      </c>
      <c r="AB1196" t="str">
        <f>HYPERLINK("Melting_Curves/meltCurve_P47895_ALDH1A3.pdf", "Melting_Curves/meltCurve_P47895_ALDH1A3.pdf")</f>
        <v>Melting_Curves/meltCurve_P47895_ALDH1A3.pdf</v>
      </c>
    </row>
    <row r="1197" spans="1:28" x14ac:dyDescent="0.25">
      <c r="A1197" t="s">
        <v>1201</v>
      </c>
      <c r="B1197">
        <v>1</v>
      </c>
      <c r="C1197">
        <v>1.1325982417912701</v>
      </c>
      <c r="D1197">
        <v>1.4254639717484401</v>
      </c>
      <c r="E1197">
        <v>1.43496881809302</v>
      </c>
      <c r="F1197">
        <v>0.97439702456984001</v>
      </c>
      <c r="G1197">
        <v>1.03052445713427</v>
      </c>
      <c r="H1197">
        <v>0.886524156585769</v>
      </c>
      <c r="I1197">
        <v>1.2947629423698199</v>
      </c>
      <c r="J1197">
        <v>0.88981140581561302</v>
      </c>
      <c r="K1197">
        <v>0.83263205349763303</v>
      </c>
      <c r="L1197">
        <v>15000</v>
      </c>
      <c r="M1197">
        <v>224.53411624748199</v>
      </c>
      <c r="O1197">
        <v>66.799693077468504</v>
      </c>
      <c r="P1197">
        <v>-0.14067399104522799</v>
      </c>
      <c r="Q1197">
        <v>0.832595962485978</v>
      </c>
      <c r="R1197">
        <v>-9.1863848750814797E-2</v>
      </c>
      <c r="S1197" t="s">
        <v>3071</v>
      </c>
      <c r="T1197" t="s">
        <v>3746</v>
      </c>
      <c r="U1197" t="s">
        <v>3746</v>
      </c>
      <c r="V1197" t="s">
        <v>3746</v>
      </c>
      <c r="W1197" t="s">
        <v>4931</v>
      </c>
      <c r="X1197">
        <v>1</v>
      </c>
      <c r="Y1197" t="s">
        <v>6725</v>
      </c>
      <c r="Z1197" t="s">
        <v>8585</v>
      </c>
      <c r="AA1197">
        <v>0.98219569667137607</v>
      </c>
      <c r="AB1197" t="str">
        <f>HYPERLINK("Melting_Curves/meltCurve_P47914_RPL29.pdf", "Melting_Curves/meltCurve_P47914_RPL29.pdf")</f>
        <v>Melting_Curves/meltCurve_P47914_RPL29.pdf</v>
      </c>
    </row>
    <row r="1198" spans="1:28" x14ac:dyDescent="0.25">
      <c r="A1198" t="s">
        <v>1202</v>
      </c>
      <c r="B1198">
        <v>1</v>
      </c>
      <c r="C1198">
        <v>0.96314006295504195</v>
      </c>
      <c r="D1198">
        <v>1.3269817622606099</v>
      </c>
      <c r="E1198">
        <v>1.8549390873921701</v>
      </c>
      <c r="F1198">
        <v>1.93550712449239</v>
      </c>
      <c r="G1198">
        <v>2.76858014753586</v>
      </c>
      <c r="H1198">
        <v>2.0434197563495702</v>
      </c>
      <c r="I1198">
        <v>3.0595670038686098</v>
      </c>
      <c r="J1198">
        <v>3.40437801859817</v>
      </c>
      <c r="K1198">
        <v>3.19364682701781</v>
      </c>
      <c r="L1198">
        <v>11470.7206615095</v>
      </c>
      <c r="M1198">
        <v>250</v>
      </c>
      <c r="O1198">
        <v>45.879932560210101</v>
      </c>
      <c r="P1198">
        <v>0.68112546793621798</v>
      </c>
      <c r="Q1198">
        <v>1.5</v>
      </c>
      <c r="R1198">
        <v>-0.501484137999469</v>
      </c>
      <c r="S1198" t="s">
        <v>3072</v>
      </c>
      <c r="T1198" t="s">
        <v>3746</v>
      </c>
      <c r="U1198" t="s">
        <v>3746</v>
      </c>
      <c r="V1198" t="s">
        <v>3746</v>
      </c>
      <c r="W1198" t="s">
        <v>4932</v>
      </c>
      <c r="X1198">
        <v>67</v>
      </c>
      <c r="Y1198" t="s">
        <v>6726</v>
      </c>
      <c r="Z1198" t="s">
        <v>8586</v>
      </c>
      <c r="AA1198">
        <v>1.4019116940268921</v>
      </c>
      <c r="AB1198" t="str">
        <f>HYPERLINK("Melting_Curves/meltCurve_P47989_XDH.pdf", "Melting_Curves/meltCurve_P47989_XDH.pdf")</f>
        <v>Melting_Curves/meltCurve_P47989_XDH.pdf</v>
      </c>
    </row>
    <row r="1199" spans="1:28" x14ac:dyDescent="0.25">
      <c r="A1199" t="s">
        <v>1203</v>
      </c>
      <c r="B1199">
        <v>1</v>
      </c>
      <c r="C1199">
        <v>1.1895468332074901</v>
      </c>
      <c r="D1199">
        <v>2.1317139968517602</v>
      </c>
      <c r="E1199">
        <v>3.4887828101204299</v>
      </c>
      <c r="F1199">
        <v>2.52038034784167</v>
      </c>
      <c r="G1199">
        <v>2.4663740257745799</v>
      </c>
      <c r="H1199">
        <v>2.15922906615135</v>
      </c>
      <c r="I1199">
        <v>2.8050013437592001</v>
      </c>
      <c r="J1199">
        <v>2.8152395090799698</v>
      </c>
      <c r="K1199">
        <v>2.8259895826667898</v>
      </c>
      <c r="L1199">
        <v>10746.166669188</v>
      </c>
      <c r="M1199">
        <v>250</v>
      </c>
      <c r="O1199">
        <v>42.981915898027502</v>
      </c>
      <c r="P1199">
        <v>0.72704995463506605</v>
      </c>
      <c r="Q1199">
        <v>1.5</v>
      </c>
      <c r="R1199">
        <v>-1.28077553033243</v>
      </c>
      <c r="S1199" t="s">
        <v>3073</v>
      </c>
      <c r="T1199" t="s">
        <v>3746</v>
      </c>
      <c r="U1199" t="s">
        <v>3746</v>
      </c>
      <c r="V1199" t="s">
        <v>3746</v>
      </c>
      <c r="W1199" t="s">
        <v>4933</v>
      </c>
      <c r="X1199">
        <v>5</v>
      </c>
      <c r="Y1199" t="s">
        <v>6727</v>
      </c>
      <c r="Z1199" t="s">
        <v>8587</v>
      </c>
      <c r="AA1199">
        <v>1.450217836657449</v>
      </c>
      <c r="AB1199" t="str">
        <f>HYPERLINK("Melting_Curves/meltCurve_P48163_ME1.pdf", "Melting_Curves/meltCurve_P48163_ME1.pdf")</f>
        <v>Melting_Curves/meltCurve_P48163_ME1.pdf</v>
      </c>
    </row>
    <row r="1200" spans="1:28" x14ac:dyDescent="0.25">
      <c r="A1200" t="s">
        <v>1204</v>
      </c>
      <c r="B1200">
        <v>1</v>
      </c>
      <c r="C1200">
        <v>1.2317225353930901</v>
      </c>
      <c r="D1200">
        <v>1.5539394982572401</v>
      </c>
      <c r="E1200">
        <v>1.7662980334781999</v>
      </c>
      <c r="F1200">
        <v>1.2626188734454999</v>
      </c>
      <c r="G1200">
        <v>1.2761736735659901</v>
      </c>
      <c r="H1200">
        <v>0.915142648134601</v>
      </c>
      <c r="I1200">
        <v>1.6767933215715001</v>
      </c>
      <c r="J1200">
        <v>1.6203365032918799</v>
      </c>
      <c r="K1200">
        <v>1.5528637204699001</v>
      </c>
      <c r="L1200">
        <v>10723.025334239301</v>
      </c>
      <c r="M1200">
        <v>250</v>
      </c>
      <c r="O1200">
        <v>42.889356539664902</v>
      </c>
      <c r="P1200">
        <v>0.660159101953528</v>
      </c>
      <c r="Q1200">
        <v>1.45302078488033</v>
      </c>
      <c r="R1200">
        <v>0.27394729558886499</v>
      </c>
      <c r="S1200" t="s">
        <v>3074</v>
      </c>
      <c r="T1200" t="s">
        <v>3746</v>
      </c>
      <c r="U1200" t="s">
        <v>3746</v>
      </c>
      <c r="V1200" t="s">
        <v>3746</v>
      </c>
      <c r="W1200" t="s">
        <v>4934</v>
      </c>
      <c r="X1200">
        <v>8</v>
      </c>
      <c r="Y1200" t="s">
        <v>6728</v>
      </c>
      <c r="Z1200" t="s">
        <v>8588</v>
      </c>
      <c r="AA1200">
        <v>1.4093139498018949</v>
      </c>
      <c r="AB1200" t="str">
        <f>HYPERLINK("Melting_Curves/meltCurve_P48449_2_LSS.pdf", "Melting_Curves/meltCurve_P48449_2_LSS.pdf")</f>
        <v>Melting_Curves/meltCurve_P48449_2_LSS.pdf</v>
      </c>
    </row>
    <row r="1201" spans="1:28" x14ac:dyDescent="0.25">
      <c r="A1201" t="s">
        <v>1205</v>
      </c>
      <c r="B1201">
        <v>1</v>
      </c>
      <c r="C1201">
        <v>1.06204660803019</v>
      </c>
      <c r="D1201">
        <v>1.40121701697978</v>
      </c>
      <c r="E1201">
        <v>1.92559721521006</v>
      </c>
      <c r="F1201">
        <v>1.5822549358275999</v>
      </c>
      <c r="G1201">
        <v>1.8479791672202599</v>
      </c>
      <c r="H1201">
        <v>1.36103951319321</v>
      </c>
      <c r="I1201">
        <v>1.9787686339117301</v>
      </c>
      <c r="J1201">
        <v>2.0920734461775599</v>
      </c>
      <c r="K1201">
        <v>1.92849360933223</v>
      </c>
      <c r="L1201">
        <v>2479.3820156295801</v>
      </c>
      <c r="M1201">
        <v>55.5381471615365</v>
      </c>
      <c r="O1201">
        <v>44.585075749490102</v>
      </c>
      <c r="P1201">
        <v>0.155708360175494</v>
      </c>
      <c r="Q1201">
        <v>1.5</v>
      </c>
      <c r="R1201">
        <v>0.221351468699752</v>
      </c>
      <c r="S1201" t="s">
        <v>3075</v>
      </c>
      <c r="T1201" t="s">
        <v>3746</v>
      </c>
      <c r="U1201" t="s">
        <v>3746</v>
      </c>
      <c r="V1201" t="s">
        <v>3746</v>
      </c>
      <c r="W1201" t="s">
        <v>4935</v>
      </c>
      <c r="X1201">
        <v>3</v>
      </c>
      <c r="Y1201" t="s">
        <v>6729</v>
      </c>
      <c r="Z1201" t="s">
        <v>8589</v>
      </c>
      <c r="AA1201">
        <v>1.421805209940993</v>
      </c>
      <c r="AB1201" t="str">
        <f>HYPERLINK("Melting_Curves/meltCurve_P48506_GCLC.pdf", "Melting_Curves/meltCurve_P48506_GCLC.pdf")</f>
        <v>Melting_Curves/meltCurve_P48506_GCLC.pdf</v>
      </c>
    </row>
    <row r="1202" spans="1:28" x14ac:dyDescent="0.25">
      <c r="A1202" t="s">
        <v>1206</v>
      </c>
      <c r="B1202">
        <v>1</v>
      </c>
      <c r="C1202">
        <v>1.3344410617040401</v>
      </c>
      <c r="D1202">
        <v>1.6607992796192299</v>
      </c>
      <c r="E1202">
        <v>3.3109643668796398</v>
      </c>
      <c r="F1202">
        <v>3.32447150636765</v>
      </c>
      <c r="G1202">
        <v>4.3220702371253399</v>
      </c>
      <c r="H1202">
        <v>2.2975001071995198</v>
      </c>
      <c r="I1202">
        <v>3.7359032631533799</v>
      </c>
      <c r="J1202">
        <v>3.5392993439389402</v>
      </c>
      <c r="K1202">
        <v>3.3156811457484698</v>
      </c>
      <c r="L1202">
        <v>10694.835570097999</v>
      </c>
      <c r="M1202">
        <v>250</v>
      </c>
      <c r="O1202">
        <v>42.776587901403197</v>
      </c>
      <c r="P1202">
        <v>0.73053951314240895</v>
      </c>
      <c r="Q1202">
        <v>1.5</v>
      </c>
      <c r="R1202">
        <v>-1.41258343791443</v>
      </c>
      <c r="S1202" t="s">
        <v>3076</v>
      </c>
      <c r="T1202" t="s">
        <v>3746</v>
      </c>
      <c r="U1202" t="s">
        <v>3746</v>
      </c>
      <c r="V1202" t="s">
        <v>3746</v>
      </c>
      <c r="W1202" t="s">
        <v>4936</v>
      </c>
      <c r="X1202">
        <v>12</v>
      </c>
      <c r="Y1202" t="s">
        <v>6730</v>
      </c>
      <c r="Z1202" t="s">
        <v>8590</v>
      </c>
      <c r="AA1202">
        <v>1.4536400900494679</v>
      </c>
      <c r="AB1202" t="str">
        <f>HYPERLINK("Melting_Curves/meltCurve_P48637_GSS.pdf", "Melting_Curves/meltCurve_P48637_GSS.pdf")</f>
        <v>Melting_Curves/meltCurve_P48637_GSS.pdf</v>
      </c>
    </row>
    <row r="1203" spans="1:28" x14ac:dyDescent="0.25">
      <c r="A1203" t="s">
        <v>1207</v>
      </c>
      <c r="B1203">
        <v>1</v>
      </c>
      <c r="C1203">
        <v>1.0508781050109599</v>
      </c>
      <c r="D1203">
        <v>1.6236466785706201</v>
      </c>
      <c r="E1203">
        <v>2.14906312863052</v>
      </c>
      <c r="F1203">
        <v>1.64618131681848</v>
      </c>
      <c r="G1203">
        <v>2.0421309585697198</v>
      </c>
      <c r="H1203">
        <v>1.3317812987365201</v>
      </c>
      <c r="I1203">
        <v>2.0699093641932098</v>
      </c>
      <c r="J1203">
        <v>2.0616142666636499</v>
      </c>
      <c r="K1203">
        <v>1.8735393169540899</v>
      </c>
      <c r="L1203">
        <v>10818.4298352395</v>
      </c>
      <c r="M1203">
        <v>250</v>
      </c>
      <c r="O1203">
        <v>43.270949938762399</v>
      </c>
      <c r="P1203">
        <v>0.72219352607735499</v>
      </c>
      <c r="Q1203">
        <v>1.5</v>
      </c>
      <c r="R1203">
        <v>6.5830833656192606E-2</v>
      </c>
      <c r="S1203" t="s">
        <v>3077</v>
      </c>
      <c r="T1203" t="s">
        <v>3746</v>
      </c>
      <c r="U1203" t="s">
        <v>3746</v>
      </c>
      <c r="V1203" t="s">
        <v>3746</v>
      </c>
      <c r="W1203" t="s">
        <v>4937</v>
      </c>
      <c r="X1203">
        <v>8</v>
      </c>
      <c r="Y1203" t="s">
        <v>6731</v>
      </c>
      <c r="Z1203" t="s">
        <v>8591</v>
      </c>
      <c r="AA1203">
        <v>1.445400038628875</v>
      </c>
      <c r="AB1203" t="str">
        <f>HYPERLINK("Melting_Curves/meltCurve_P48723_HSPA13.pdf", "Melting_Curves/meltCurve_P48723_HSPA13.pdf")</f>
        <v>Melting_Curves/meltCurve_P48723_HSPA13.pdf</v>
      </c>
    </row>
    <row r="1204" spans="1:28" x14ac:dyDescent="0.25">
      <c r="A1204" t="s">
        <v>1208</v>
      </c>
      <c r="B1204">
        <v>1</v>
      </c>
      <c r="C1204">
        <v>0.98430514600970198</v>
      </c>
      <c r="D1204">
        <v>1.6784457338533201</v>
      </c>
      <c r="E1204">
        <v>2.22438885189765</v>
      </c>
      <c r="F1204">
        <v>1.65542661466755</v>
      </c>
      <c r="G1204">
        <v>2.2682393227432698</v>
      </c>
      <c r="H1204">
        <v>1.4843527061733099</v>
      </c>
      <c r="I1204">
        <v>2.12983924664701</v>
      </c>
      <c r="J1204">
        <v>2.1067725672976301</v>
      </c>
      <c r="K1204">
        <v>1.96452011794921</v>
      </c>
      <c r="L1204">
        <v>11046.9536453781</v>
      </c>
      <c r="M1204">
        <v>250</v>
      </c>
      <c r="O1204">
        <v>44.184986718110402</v>
      </c>
      <c r="P1204">
        <v>0.70725380409301597</v>
      </c>
      <c r="Q1204">
        <v>1.5</v>
      </c>
      <c r="R1204">
        <v>-5.2562240475270597E-2</v>
      </c>
      <c r="S1204" t="s">
        <v>3078</v>
      </c>
      <c r="T1204" t="s">
        <v>3746</v>
      </c>
      <c r="U1204" t="s">
        <v>3746</v>
      </c>
      <c r="V1204" t="s">
        <v>3746</v>
      </c>
      <c r="W1204" t="s">
        <v>4938</v>
      </c>
      <c r="X1204">
        <v>7</v>
      </c>
      <c r="Y1204" t="s">
        <v>6732</v>
      </c>
      <c r="Z1204" t="s">
        <v>8592</v>
      </c>
      <c r="AA1204">
        <v>1.4301643158446751</v>
      </c>
      <c r="AB1204" t="str">
        <f>HYPERLINK("Melting_Curves/meltCurve_P48739_PITPNB.pdf", "Melting_Curves/meltCurve_P48739_PITPNB.pdf")</f>
        <v>Melting_Curves/meltCurve_P48739_PITPNB.pdf</v>
      </c>
    </row>
    <row r="1205" spans="1:28" x14ac:dyDescent="0.25">
      <c r="A1205" t="s">
        <v>1209</v>
      </c>
      <c r="B1205">
        <v>1</v>
      </c>
      <c r="C1205">
        <v>1.32439884578391</v>
      </c>
      <c r="D1205">
        <v>2.0050016030779099</v>
      </c>
      <c r="E1205">
        <v>2.5483808913113202</v>
      </c>
      <c r="F1205">
        <v>1.6042321256813099</v>
      </c>
      <c r="G1205">
        <v>2.0046168643796101</v>
      </c>
      <c r="H1205">
        <v>1.19561397883937</v>
      </c>
      <c r="I1205">
        <v>1.87354921449182</v>
      </c>
      <c r="J1205">
        <v>1.97011862776531</v>
      </c>
      <c r="K1205">
        <v>1.2842577749278601</v>
      </c>
      <c r="L1205">
        <v>10698.669738775399</v>
      </c>
      <c r="M1205">
        <v>250</v>
      </c>
      <c r="O1205">
        <v>42.791940395464898</v>
      </c>
      <c r="P1205">
        <v>0.73027770555598503</v>
      </c>
      <c r="Q1205">
        <v>1.5</v>
      </c>
      <c r="R1205">
        <v>-2.2598222441314399E-2</v>
      </c>
      <c r="S1205" t="s">
        <v>3079</v>
      </c>
      <c r="T1205" t="s">
        <v>3746</v>
      </c>
      <c r="U1205" t="s">
        <v>3746</v>
      </c>
      <c r="V1205" t="s">
        <v>3746</v>
      </c>
      <c r="W1205" t="s">
        <v>4939</v>
      </c>
      <c r="X1205">
        <v>2</v>
      </c>
      <c r="Y1205" t="s">
        <v>6733</v>
      </c>
      <c r="Z1205" t="s">
        <v>8593</v>
      </c>
      <c r="AA1205">
        <v>1.453384465352981</v>
      </c>
      <c r="AB1205" t="str">
        <f>HYPERLINK("Melting_Curves/meltCurve_P48740_MASP1.pdf", "Melting_Curves/meltCurve_P48740_MASP1.pdf")</f>
        <v>Melting_Curves/meltCurve_P48740_MASP1.pdf</v>
      </c>
    </row>
    <row r="1206" spans="1:28" x14ac:dyDescent="0.25">
      <c r="A1206" t="s">
        <v>1210</v>
      </c>
      <c r="B1206">
        <v>1</v>
      </c>
      <c r="C1206">
        <v>1.2018282066163699</v>
      </c>
      <c r="D1206">
        <v>1.33046596467955</v>
      </c>
      <c r="E1206">
        <v>1.70518613713622</v>
      </c>
      <c r="F1206">
        <v>1.03583865351132</v>
      </c>
      <c r="G1206">
        <v>1.0193184644722699</v>
      </c>
      <c r="H1206">
        <v>0.83434209435370199</v>
      </c>
      <c r="I1206">
        <v>0.97527153635685304</v>
      </c>
      <c r="J1206">
        <v>1.0716565790564601</v>
      </c>
      <c r="K1206">
        <v>1.0235676975375201</v>
      </c>
      <c r="L1206">
        <v>10239.8834272272</v>
      </c>
      <c r="M1206">
        <v>250</v>
      </c>
      <c r="O1206">
        <v>40.956912583820497</v>
      </c>
      <c r="P1206">
        <v>0.20303778332618</v>
      </c>
      <c r="Q1206">
        <v>1.13305281168699</v>
      </c>
      <c r="R1206">
        <v>2.9546221425662302E-2</v>
      </c>
      <c r="S1206" t="s">
        <v>3080</v>
      </c>
      <c r="T1206" t="s">
        <v>3746</v>
      </c>
      <c r="U1206" t="s">
        <v>3746</v>
      </c>
      <c r="V1206" t="s">
        <v>3746</v>
      </c>
      <c r="W1206" t="s">
        <v>4940</v>
      </c>
      <c r="X1206">
        <v>5</v>
      </c>
      <c r="Y1206" t="s">
        <v>6734</v>
      </c>
      <c r="Z1206" t="s">
        <v>8594</v>
      </c>
      <c r="AA1206">
        <v>1.128785918143103</v>
      </c>
      <c r="AB1206" t="str">
        <f>HYPERLINK("Melting_Curves/meltCurve_P49006_MARCKSL1.pdf", "Melting_Curves/meltCurve_P49006_MARCKSL1.pdf")</f>
        <v>Melting_Curves/meltCurve_P49006_MARCKSL1.pdf</v>
      </c>
    </row>
    <row r="1207" spans="1:28" x14ac:dyDescent="0.25">
      <c r="A1207" t="s">
        <v>1211</v>
      </c>
      <c r="B1207">
        <v>1</v>
      </c>
      <c r="C1207">
        <v>1.01993919253341</v>
      </c>
      <c r="D1207">
        <v>1.41872304320158</v>
      </c>
      <c r="E1207">
        <v>1.91182917344269</v>
      </c>
      <c r="F1207">
        <v>1.49833840062222</v>
      </c>
      <c r="G1207">
        <v>1.7448914657427701</v>
      </c>
      <c r="H1207">
        <v>1.6999222230078499</v>
      </c>
      <c r="I1207">
        <v>3.2674821466449799</v>
      </c>
      <c r="J1207">
        <v>3.88411228169412</v>
      </c>
      <c r="K1207">
        <v>3.7254472177048701</v>
      </c>
      <c r="L1207">
        <v>3498.0006758500699</v>
      </c>
      <c r="M1207">
        <v>77.724078900139801</v>
      </c>
      <c r="O1207">
        <v>44.975600089603098</v>
      </c>
      <c r="P1207">
        <v>0.216017381030638</v>
      </c>
      <c r="Q1207">
        <v>1.5</v>
      </c>
      <c r="R1207">
        <v>-0.31009338718571999</v>
      </c>
      <c r="S1207" t="s">
        <v>3081</v>
      </c>
      <c r="T1207" t="s">
        <v>3746</v>
      </c>
      <c r="U1207" t="s">
        <v>3746</v>
      </c>
      <c r="V1207" t="s">
        <v>3746</v>
      </c>
      <c r="W1207" t="s">
        <v>4941</v>
      </c>
      <c r="X1207">
        <v>17</v>
      </c>
      <c r="Y1207" t="s">
        <v>6735</v>
      </c>
      <c r="Z1207" t="s">
        <v>8595</v>
      </c>
      <c r="AA1207">
        <v>1.4161673475580241</v>
      </c>
      <c r="AB1207" t="str">
        <f>HYPERLINK("Melting_Curves/meltCurve_P49189_ALDH9A1.pdf", "Melting_Curves/meltCurve_P49189_ALDH9A1.pdf")</f>
        <v>Melting_Curves/meltCurve_P49189_ALDH9A1.pdf</v>
      </c>
    </row>
    <row r="1208" spans="1:28" x14ac:dyDescent="0.25">
      <c r="A1208" t="s">
        <v>1212</v>
      </c>
      <c r="B1208">
        <v>1</v>
      </c>
      <c r="C1208">
        <v>1.0355902777777799</v>
      </c>
      <c r="D1208">
        <v>1.5967013888888899</v>
      </c>
      <c r="E1208">
        <v>1.9983217592592599</v>
      </c>
      <c r="F1208">
        <v>1.5228587962963001</v>
      </c>
      <c r="G1208">
        <v>1.6259837962963</v>
      </c>
      <c r="H1208">
        <v>1.0356481481481501</v>
      </c>
      <c r="I1208">
        <v>1.5076967592592601</v>
      </c>
      <c r="J1208">
        <v>1.48032407407407</v>
      </c>
      <c r="K1208">
        <v>1.25596064814815</v>
      </c>
      <c r="L1208">
        <v>10835.1960653479</v>
      </c>
      <c r="M1208">
        <v>250</v>
      </c>
      <c r="O1208">
        <v>43.338011736681302</v>
      </c>
      <c r="P1208">
        <v>0.72107601395947896</v>
      </c>
      <c r="Q1208">
        <v>1.5</v>
      </c>
      <c r="R1208">
        <v>0.40691472078429702</v>
      </c>
      <c r="S1208" t="s">
        <v>3082</v>
      </c>
      <c r="T1208" t="s">
        <v>3746</v>
      </c>
      <c r="U1208" t="s">
        <v>3746</v>
      </c>
      <c r="V1208" t="s">
        <v>3746</v>
      </c>
      <c r="W1208" t="s">
        <v>4942</v>
      </c>
      <c r="X1208">
        <v>3</v>
      </c>
      <c r="Y1208" t="s">
        <v>6736</v>
      </c>
      <c r="Z1208" t="s">
        <v>8596</v>
      </c>
      <c r="AA1208">
        <v>1.4442822311071331</v>
      </c>
      <c r="AB1208" t="str">
        <f>HYPERLINK("Melting_Curves/meltCurve_P49257_LMAN1.pdf", "Melting_Curves/meltCurve_P49257_LMAN1.pdf")</f>
        <v>Melting_Curves/meltCurve_P49257_LMAN1.pdf</v>
      </c>
    </row>
    <row r="1209" spans="1:28" x14ac:dyDescent="0.25">
      <c r="A1209" t="s">
        <v>1213</v>
      </c>
      <c r="B1209">
        <v>1</v>
      </c>
      <c r="C1209">
        <v>1.38175805583327</v>
      </c>
      <c r="D1209">
        <v>1.4865031146658501</v>
      </c>
      <c r="E1209">
        <v>2.2144120587556699</v>
      </c>
      <c r="F1209">
        <v>0.86587710528339601</v>
      </c>
      <c r="G1209">
        <v>0.56650003845266494</v>
      </c>
      <c r="H1209">
        <v>1.24571252787818</v>
      </c>
      <c r="I1209">
        <v>0.76700761362762404</v>
      </c>
      <c r="J1209">
        <v>0.85880181496577701</v>
      </c>
      <c r="K1209">
        <v>1.1169730062293299</v>
      </c>
      <c r="L1209">
        <v>10227.8367780636</v>
      </c>
      <c r="M1209">
        <v>250</v>
      </c>
      <c r="O1209">
        <v>40.9087388162297</v>
      </c>
      <c r="P1209">
        <v>0.25523332610402499</v>
      </c>
      <c r="Q1209">
        <v>1.16706033569664</v>
      </c>
      <c r="R1209">
        <v>1.26513590213827E-2</v>
      </c>
      <c r="S1209" t="s">
        <v>3083</v>
      </c>
      <c r="T1209" t="s">
        <v>3746</v>
      </c>
      <c r="U1209" t="s">
        <v>3746</v>
      </c>
      <c r="V1209" t="s">
        <v>3746</v>
      </c>
      <c r="W1209" t="s">
        <v>4943</v>
      </c>
      <c r="X1209">
        <v>1</v>
      </c>
      <c r="Y1209" t="s">
        <v>6737</v>
      </c>
      <c r="Z1209" t="s">
        <v>8597</v>
      </c>
      <c r="AA1209">
        <v>1.161970443274307</v>
      </c>
      <c r="AB1209" t="str">
        <f>HYPERLINK("Melting_Curves/meltCurve_P49281_3_SLC11A2.pdf", "Melting_Curves/meltCurve_P49281_3_SLC11A2.pdf")</f>
        <v>Melting_Curves/meltCurve_P49281_3_SLC11A2.pdf</v>
      </c>
    </row>
    <row r="1210" spans="1:28" x14ac:dyDescent="0.25">
      <c r="A1210" t="s">
        <v>1214</v>
      </c>
      <c r="B1210">
        <v>1</v>
      </c>
      <c r="C1210">
        <v>1.0202258845223</v>
      </c>
      <c r="D1210">
        <v>1.6098305866082701</v>
      </c>
      <c r="E1210">
        <v>1.9079751066036601</v>
      </c>
      <c r="F1210">
        <v>1.4574161576581799</v>
      </c>
      <c r="G1210">
        <v>1.7375821136337399</v>
      </c>
      <c r="H1210">
        <v>1.4116630171718301</v>
      </c>
      <c r="I1210">
        <v>2.8149129883600299</v>
      </c>
      <c r="J1210">
        <v>3.4444508470669599</v>
      </c>
      <c r="K1210">
        <v>3.4657139564365602</v>
      </c>
      <c r="L1210">
        <v>10860.831141664001</v>
      </c>
      <c r="M1210">
        <v>250</v>
      </c>
      <c r="O1210">
        <v>43.4405220710753</v>
      </c>
      <c r="P1210">
        <v>0.71937403822091095</v>
      </c>
      <c r="Q1210">
        <v>1.5</v>
      </c>
      <c r="R1210">
        <v>-0.24475658805606801</v>
      </c>
      <c r="S1210" t="s">
        <v>3084</v>
      </c>
      <c r="T1210" t="s">
        <v>3746</v>
      </c>
      <c r="U1210" t="s">
        <v>3746</v>
      </c>
      <c r="V1210" t="s">
        <v>3746</v>
      </c>
      <c r="W1210" t="s">
        <v>4944</v>
      </c>
      <c r="X1210">
        <v>90</v>
      </c>
      <c r="Y1210" t="s">
        <v>6738</v>
      </c>
      <c r="Z1210" t="s">
        <v>8598</v>
      </c>
      <c r="AA1210">
        <v>1.4425731360420579</v>
      </c>
      <c r="AB1210" t="str">
        <f>HYPERLINK("Melting_Curves/meltCurve_P49327_FASN.pdf", "Melting_Curves/meltCurve_P49327_FASN.pdf")</f>
        <v>Melting_Curves/meltCurve_P49327_FASN.pdf</v>
      </c>
    </row>
    <row r="1211" spans="1:28" x14ac:dyDescent="0.25">
      <c r="A1211" t="s">
        <v>1215</v>
      </c>
      <c r="B1211">
        <v>1</v>
      </c>
      <c r="C1211">
        <v>1.0773803370205699</v>
      </c>
      <c r="D1211">
        <v>1.6622557634653199</v>
      </c>
      <c r="E1211">
        <v>2.3323167579861499</v>
      </c>
      <c r="F1211">
        <v>1.76982321927013</v>
      </c>
      <c r="G1211">
        <v>2.16602915331335</v>
      </c>
      <c r="H1211">
        <v>1.46908921740928</v>
      </c>
      <c r="I1211">
        <v>2.2247493021813298</v>
      </c>
      <c r="J1211">
        <v>2.29913160343223</v>
      </c>
      <c r="K1211">
        <v>2.0935077018505099</v>
      </c>
      <c r="L1211">
        <v>10797.832874003399</v>
      </c>
      <c r="M1211">
        <v>250</v>
      </c>
      <c r="O1211">
        <v>43.188567577453902</v>
      </c>
      <c r="P1211">
        <v>0.72357111658437001</v>
      </c>
      <c r="Q1211">
        <v>1.5</v>
      </c>
      <c r="R1211">
        <v>-0.23782435756390799</v>
      </c>
      <c r="S1211" t="s">
        <v>3085</v>
      </c>
      <c r="T1211" t="s">
        <v>3746</v>
      </c>
      <c r="U1211" t="s">
        <v>3746</v>
      </c>
      <c r="V1211" t="s">
        <v>3746</v>
      </c>
      <c r="W1211" t="s">
        <v>4945</v>
      </c>
      <c r="X1211">
        <v>6</v>
      </c>
      <c r="Y1211" t="s">
        <v>6739</v>
      </c>
      <c r="Z1211" t="s">
        <v>8599</v>
      </c>
      <c r="AA1211">
        <v>1.446773241670487</v>
      </c>
      <c r="AB1211" t="str">
        <f>HYPERLINK("Melting_Curves/meltCurve_P49407_2_ARRB1.pdf", "Melting_Curves/meltCurve_P49407_2_ARRB1.pdf")</f>
        <v>Melting_Curves/meltCurve_P49407_2_ARRB1.pdf</v>
      </c>
    </row>
    <row r="1212" spans="1:28" x14ac:dyDescent="0.25">
      <c r="A1212" t="s">
        <v>1216</v>
      </c>
      <c r="B1212">
        <v>1</v>
      </c>
      <c r="C1212">
        <v>1.04969455511288</v>
      </c>
      <c r="D1212">
        <v>1.3631075697211199</v>
      </c>
      <c r="E1212">
        <v>1.83059760956175</v>
      </c>
      <c r="F1212">
        <v>1.37500664010624</v>
      </c>
      <c r="G1212">
        <v>2.0338114209827398</v>
      </c>
      <c r="H1212">
        <v>1.52432934926959</v>
      </c>
      <c r="I1212">
        <v>2.8079681274900401</v>
      </c>
      <c r="J1212">
        <v>2.66427622841965</v>
      </c>
      <c r="K1212">
        <v>2.4607436918990699</v>
      </c>
      <c r="L1212">
        <v>2659.20803224462</v>
      </c>
      <c r="M1212">
        <v>58.907177733446098</v>
      </c>
      <c r="O1212">
        <v>45.090405987150099</v>
      </c>
      <c r="P1212">
        <v>0.163303040395748</v>
      </c>
      <c r="Q1212">
        <v>1.5</v>
      </c>
      <c r="R1212">
        <v>-0.12738871135296301</v>
      </c>
      <c r="S1212" t="s">
        <v>3086</v>
      </c>
      <c r="T1212" t="s">
        <v>3746</v>
      </c>
      <c r="U1212" t="s">
        <v>3746</v>
      </c>
      <c r="V1212" t="s">
        <v>3746</v>
      </c>
      <c r="W1212" t="s">
        <v>4946</v>
      </c>
      <c r="X1212">
        <v>10</v>
      </c>
      <c r="Y1212" t="s">
        <v>6740</v>
      </c>
      <c r="Z1212" t="s">
        <v>8600</v>
      </c>
      <c r="AA1212">
        <v>1.413573103901417</v>
      </c>
      <c r="AB1212" t="str">
        <f>HYPERLINK("Melting_Curves/meltCurve_P49419_2_ALDH7A1.pdf", "Melting_Curves/meltCurve_P49419_2_ALDH7A1.pdf")</f>
        <v>Melting_Curves/meltCurve_P49419_2_ALDH7A1.pdf</v>
      </c>
    </row>
    <row r="1213" spans="1:28" x14ac:dyDescent="0.25">
      <c r="A1213" t="s">
        <v>1217</v>
      </c>
      <c r="B1213">
        <v>1</v>
      </c>
      <c r="C1213">
        <v>1.1365571531849901</v>
      </c>
      <c r="D1213">
        <v>1.4946582054783499</v>
      </c>
      <c r="E1213">
        <v>1.7950036147481701</v>
      </c>
      <c r="F1213">
        <v>1.3380994457386099</v>
      </c>
      <c r="G1213">
        <v>1.55988432805848</v>
      </c>
      <c r="H1213">
        <v>0.66532251586472801</v>
      </c>
      <c r="I1213">
        <v>1.4399550164671899</v>
      </c>
      <c r="J1213">
        <v>1.5667925134548999</v>
      </c>
      <c r="K1213">
        <v>1.36950759097116</v>
      </c>
      <c r="L1213">
        <v>10753.780048844699</v>
      </c>
      <c r="M1213">
        <v>250</v>
      </c>
      <c r="O1213">
        <v>43.012368992743099</v>
      </c>
      <c r="P1213">
        <v>0.58653610837796799</v>
      </c>
      <c r="Q1213">
        <v>1.4036529059854099</v>
      </c>
      <c r="R1213">
        <v>0.19848348069458299</v>
      </c>
      <c r="S1213" t="s">
        <v>3087</v>
      </c>
      <c r="T1213" t="s">
        <v>3746</v>
      </c>
      <c r="U1213" t="s">
        <v>3746</v>
      </c>
      <c r="V1213" t="s">
        <v>3746</v>
      </c>
      <c r="W1213" t="s">
        <v>4947</v>
      </c>
      <c r="X1213">
        <v>1</v>
      </c>
      <c r="Y1213" t="s">
        <v>6741</v>
      </c>
      <c r="Z1213" t="s">
        <v>8601</v>
      </c>
      <c r="AA1213">
        <v>1.3630536995727749</v>
      </c>
      <c r="AB1213" t="str">
        <f>HYPERLINK("Melting_Curves/meltCurve_P49458_SRP9.pdf", "Melting_Curves/meltCurve_P49458_SRP9.pdf")</f>
        <v>Melting_Curves/meltCurve_P49458_SRP9.pdf</v>
      </c>
    </row>
    <row r="1214" spans="1:28" x14ac:dyDescent="0.25">
      <c r="A1214" t="s">
        <v>1218</v>
      </c>
      <c r="B1214">
        <v>1</v>
      </c>
      <c r="C1214">
        <v>1.21899313501144</v>
      </c>
      <c r="D1214">
        <v>2.0370917412107299</v>
      </c>
      <c r="E1214">
        <v>3.2346577907218599</v>
      </c>
      <c r="F1214">
        <v>2.44851258581236</v>
      </c>
      <c r="G1214">
        <v>2.7584772207197799</v>
      </c>
      <c r="H1214">
        <v>2.2298731017266502</v>
      </c>
      <c r="I1214">
        <v>3.6532140628250498</v>
      </c>
      <c r="J1214">
        <v>3.56500936134803</v>
      </c>
      <c r="K1214">
        <v>3.42666944039942</v>
      </c>
      <c r="L1214">
        <v>10735.696587857399</v>
      </c>
      <c r="M1214">
        <v>250</v>
      </c>
      <c r="O1214">
        <v>42.940038289798501</v>
      </c>
      <c r="P1214">
        <v>0.72775901641734397</v>
      </c>
      <c r="Q1214">
        <v>1.5</v>
      </c>
      <c r="R1214">
        <v>-1.34308923972983</v>
      </c>
      <c r="S1214" t="s">
        <v>3088</v>
      </c>
      <c r="T1214" t="s">
        <v>3746</v>
      </c>
      <c r="U1214" t="s">
        <v>3746</v>
      </c>
      <c r="V1214" t="s">
        <v>3746</v>
      </c>
      <c r="W1214" t="s">
        <v>4948</v>
      </c>
      <c r="X1214">
        <v>5</v>
      </c>
      <c r="Y1214" t="s">
        <v>6742</v>
      </c>
      <c r="Z1214" t="s">
        <v>8602</v>
      </c>
      <c r="AA1214">
        <v>1.450915878823289</v>
      </c>
      <c r="AB1214" t="str">
        <f>HYPERLINK("Melting_Curves/meltCurve_P49588_AARS.pdf", "Melting_Curves/meltCurve_P49588_AARS.pdf")</f>
        <v>Melting_Curves/meltCurve_P49588_AARS.pdf</v>
      </c>
    </row>
    <row r="1215" spans="1:28" x14ac:dyDescent="0.25">
      <c r="A1215" t="s">
        <v>1219</v>
      </c>
      <c r="B1215">
        <v>1</v>
      </c>
      <c r="C1215">
        <v>1.09306273062731</v>
      </c>
      <c r="D1215">
        <v>1.7270848708487101</v>
      </c>
      <c r="E1215">
        <v>2.6609594095941</v>
      </c>
      <c r="F1215">
        <v>2.4464206642066402</v>
      </c>
      <c r="G1215">
        <v>2.85815498154982</v>
      </c>
      <c r="H1215">
        <v>1.7816974169741699</v>
      </c>
      <c r="I1215">
        <v>2.43232472324723</v>
      </c>
      <c r="J1215">
        <v>2.5028044280442798</v>
      </c>
      <c r="K1215">
        <v>2.2340221402214002</v>
      </c>
      <c r="L1215">
        <v>10788.2938763125</v>
      </c>
      <c r="M1215">
        <v>250</v>
      </c>
      <c r="O1215">
        <v>43.1504141241128</v>
      </c>
      <c r="P1215">
        <v>0.72421089737719002</v>
      </c>
      <c r="Q1215">
        <v>1.5</v>
      </c>
      <c r="R1215">
        <v>-0.76518503533670801</v>
      </c>
      <c r="S1215" t="s">
        <v>3089</v>
      </c>
      <c r="T1215" t="s">
        <v>3746</v>
      </c>
      <c r="U1215" t="s">
        <v>3746</v>
      </c>
      <c r="V1215" t="s">
        <v>3746</v>
      </c>
      <c r="W1215" t="s">
        <v>4949</v>
      </c>
      <c r="X1215">
        <v>3</v>
      </c>
      <c r="Y1215" t="s">
        <v>6743</v>
      </c>
      <c r="Z1215" t="s">
        <v>8603</v>
      </c>
      <c r="AA1215">
        <v>1.447409208330023</v>
      </c>
      <c r="AB1215" t="str">
        <f>HYPERLINK("Melting_Curves/meltCurve_P49720_PSMB3.pdf", "Melting_Curves/meltCurve_P49720_PSMB3.pdf")</f>
        <v>Melting_Curves/meltCurve_P49720_PSMB3.pdf</v>
      </c>
    </row>
    <row r="1216" spans="1:28" x14ac:dyDescent="0.25">
      <c r="A1216" t="s">
        <v>1220</v>
      </c>
      <c r="B1216">
        <v>1</v>
      </c>
      <c r="C1216">
        <v>1.1123171496006301</v>
      </c>
      <c r="D1216">
        <v>2.2168735748669901</v>
      </c>
      <c r="E1216">
        <v>3.9925059672236101</v>
      </c>
      <c r="F1216">
        <v>2.9709439547691101</v>
      </c>
      <c r="G1216">
        <v>3.3477791260517602</v>
      </c>
      <c r="H1216">
        <v>2.5791740562452499</v>
      </c>
      <c r="I1216">
        <v>3.2564372674783</v>
      </c>
      <c r="J1216">
        <v>3.6367394290133701</v>
      </c>
      <c r="K1216">
        <v>3.4757910738335598</v>
      </c>
      <c r="L1216">
        <v>10778.1468495882</v>
      </c>
      <c r="M1216">
        <v>250</v>
      </c>
      <c r="O1216">
        <v>43.109828496315799</v>
      </c>
      <c r="P1216">
        <v>0.724892701720114</v>
      </c>
      <c r="Q1216">
        <v>1.5</v>
      </c>
      <c r="R1216">
        <v>-1.61297237559403</v>
      </c>
      <c r="S1216" t="s">
        <v>3090</v>
      </c>
      <c r="T1216" t="s">
        <v>3746</v>
      </c>
      <c r="U1216" t="s">
        <v>3746</v>
      </c>
      <c r="V1216" t="s">
        <v>3746</v>
      </c>
      <c r="W1216" t="s">
        <v>4950</v>
      </c>
      <c r="X1216">
        <v>4</v>
      </c>
      <c r="Y1216" t="s">
        <v>6744</v>
      </c>
      <c r="Z1216" t="s">
        <v>8604</v>
      </c>
      <c r="AA1216">
        <v>1.4480857123920929</v>
      </c>
      <c r="AB1216" t="str">
        <f>HYPERLINK("Melting_Curves/meltCurve_P49721_PSMB2.pdf", "Melting_Curves/meltCurve_P49721_PSMB2.pdf")</f>
        <v>Melting_Curves/meltCurve_P49721_PSMB2.pdf</v>
      </c>
    </row>
    <row r="1217" spans="1:28" x14ac:dyDescent="0.25">
      <c r="A1217" t="s">
        <v>1221</v>
      </c>
      <c r="B1217">
        <v>1</v>
      </c>
      <c r="C1217">
        <v>1.07722041835089</v>
      </c>
      <c r="D1217">
        <v>1.8071919245466399</v>
      </c>
      <c r="E1217">
        <v>2.28568904203388</v>
      </c>
      <c r="F1217">
        <v>1.87948666975902</v>
      </c>
      <c r="G1217">
        <v>2.1211759768515499</v>
      </c>
      <c r="H1217">
        <v>1.3938329688777</v>
      </c>
      <c r="I1217">
        <v>2.1961875731672298</v>
      </c>
      <c r="J1217">
        <v>1.97393589998454</v>
      </c>
      <c r="K1217">
        <v>1.9829478938881899</v>
      </c>
      <c r="L1217">
        <v>10797.9376852149</v>
      </c>
      <c r="M1217">
        <v>250</v>
      </c>
      <c r="O1217">
        <v>43.188986794450599</v>
      </c>
      <c r="P1217">
        <v>0.72356409317235204</v>
      </c>
      <c r="Q1217">
        <v>1.5</v>
      </c>
      <c r="R1217">
        <v>-0.16432080255937401</v>
      </c>
      <c r="S1217" t="s">
        <v>3091</v>
      </c>
      <c r="T1217" t="s">
        <v>3746</v>
      </c>
      <c r="U1217" t="s">
        <v>3746</v>
      </c>
      <c r="V1217" t="s">
        <v>3746</v>
      </c>
      <c r="W1217" t="s">
        <v>4951</v>
      </c>
      <c r="X1217">
        <v>4</v>
      </c>
      <c r="Y1217" t="s">
        <v>6745</v>
      </c>
      <c r="Z1217" t="s">
        <v>8605</v>
      </c>
      <c r="AA1217">
        <v>1.4467662538885171</v>
      </c>
      <c r="AB1217" t="str">
        <f>HYPERLINK("Melting_Curves/meltCurve_P49746_THBS3.pdf", "Melting_Curves/meltCurve_P49746_THBS3.pdf")</f>
        <v>Melting_Curves/meltCurve_P49746_THBS3.pdf</v>
      </c>
    </row>
    <row r="1218" spans="1:28" x14ac:dyDescent="0.25">
      <c r="A1218" t="s">
        <v>1222</v>
      </c>
      <c r="B1218">
        <v>1</v>
      </c>
      <c r="C1218">
        <v>1.03256784968685</v>
      </c>
      <c r="D1218">
        <v>1.2638830897703499</v>
      </c>
      <c r="E1218">
        <v>1.6484342379958199</v>
      </c>
      <c r="F1218">
        <v>1.1812804453723</v>
      </c>
      <c r="G1218">
        <v>1.47091162143354</v>
      </c>
      <c r="H1218">
        <v>0.79457202505219204</v>
      </c>
      <c r="I1218">
        <v>1.1944328462073801</v>
      </c>
      <c r="J1218">
        <v>1.2344467640918599</v>
      </c>
      <c r="K1218">
        <v>1.0826026443980501</v>
      </c>
      <c r="L1218">
        <v>10803.130900714899</v>
      </c>
      <c r="M1218">
        <v>250</v>
      </c>
      <c r="O1218">
        <v>43.209758300004097</v>
      </c>
      <c r="P1218">
        <v>0.33820552702935303</v>
      </c>
      <c r="Q1218">
        <v>1.23382046491944</v>
      </c>
      <c r="R1218">
        <v>0.145123710828686</v>
      </c>
      <c r="S1218" t="s">
        <v>3092</v>
      </c>
      <c r="T1218" t="s">
        <v>3746</v>
      </c>
      <c r="U1218" t="s">
        <v>3746</v>
      </c>
      <c r="V1218" t="s">
        <v>3746</v>
      </c>
      <c r="W1218" t="s">
        <v>4952</v>
      </c>
      <c r="X1218">
        <v>2</v>
      </c>
      <c r="Y1218" t="s">
        <v>6746</v>
      </c>
      <c r="Z1218" t="s">
        <v>8606</v>
      </c>
      <c r="AA1218">
        <v>1.2087642738568409</v>
      </c>
      <c r="AB1218" t="str">
        <f>HYPERLINK("Melting_Curves/meltCurve_P49755_TMED10.pdf", "Melting_Curves/meltCurve_P49755_TMED10.pdf")</f>
        <v>Melting_Curves/meltCurve_P49755_TMED10.pdf</v>
      </c>
    </row>
    <row r="1219" spans="1:28" x14ac:dyDescent="0.25">
      <c r="A1219" t="s">
        <v>1223</v>
      </c>
      <c r="B1219">
        <v>1</v>
      </c>
      <c r="C1219">
        <v>1.01539900879943</v>
      </c>
      <c r="D1219">
        <v>1.49433599676343</v>
      </c>
      <c r="E1219">
        <v>1.9977242844138801</v>
      </c>
      <c r="F1219">
        <v>1.4341812481035701</v>
      </c>
      <c r="G1219">
        <v>1.9137250935572001</v>
      </c>
      <c r="H1219">
        <v>1.39870537068878</v>
      </c>
      <c r="I1219">
        <v>1.94652068372611</v>
      </c>
      <c r="J1219">
        <v>2.0875391928795399</v>
      </c>
      <c r="K1219">
        <v>1.9788611307777899</v>
      </c>
      <c r="L1219">
        <v>5060.4504135238103</v>
      </c>
      <c r="M1219">
        <v>114.508116167295</v>
      </c>
      <c r="O1219">
        <v>44.179466310163498</v>
      </c>
      <c r="P1219">
        <v>0.32398569271942701</v>
      </c>
      <c r="Q1219">
        <v>1.5</v>
      </c>
      <c r="R1219">
        <v>0.21174980762091899</v>
      </c>
      <c r="S1219" t="s">
        <v>3093</v>
      </c>
      <c r="T1219" t="s">
        <v>3746</v>
      </c>
      <c r="U1219" t="s">
        <v>3746</v>
      </c>
      <c r="V1219" t="s">
        <v>3746</v>
      </c>
      <c r="W1219" t="s">
        <v>4953</v>
      </c>
      <c r="X1219">
        <v>5</v>
      </c>
      <c r="Y1219" t="s">
        <v>6747</v>
      </c>
      <c r="Z1219" t="s">
        <v>8607</v>
      </c>
      <c r="AA1219">
        <v>1.429932621819602</v>
      </c>
      <c r="AB1219" t="str">
        <f>HYPERLINK("Melting_Curves/meltCurve_P49773_HINT1.pdf", "Melting_Curves/meltCurve_P49773_HINT1.pdf")</f>
        <v>Melting_Curves/meltCurve_P49773_HINT1.pdf</v>
      </c>
    </row>
    <row r="1220" spans="1:28" x14ac:dyDescent="0.25">
      <c r="A1220" t="s">
        <v>1224</v>
      </c>
      <c r="B1220">
        <v>1</v>
      </c>
      <c r="C1220">
        <v>1.1469801492327201</v>
      </c>
      <c r="D1220">
        <v>1.7521235158853099</v>
      </c>
      <c r="E1220">
        <v>3.8299779435919099</v>
      </c>
      <c r="F1220">
        <v>2.6629123844385001</v>
      </c>
      <c r="G1220">
        <v>2.6657750246374801</v>
      </c>
      <c r="H1220">
        <v>2.1787507625885798</v>
      </c>
      <c r="I1220">
        <v>3.09700126707025</v>
      </c>
      <c r="J1220">
        <v>3.3068656436247599</v>
      </c>
      <c r="K1220">
        <v>3.2302313576423098</v>
      </c>
      <c r="L1220">
        <v>10762.5900765061</v>
      </c>
      <c r="M1220">
        <v>250</v>
      </c>
      <c r="O1220">
        <v>43.0476054778999</v>
      </c>
      <c r="P1220">
        <v>0.72594049701740904</v>
      </c>
      <c r="Q1220">
        <v>1.5</v>
      </c>
      <c r="R1220">
        <v>-1.15585763836791</v>
      </c>
      <c r="S1220" t="s">
        <v>3094</v>
      </c>
      <c r="T1220" t="s">
        <v>3746</v>
      </c>
      <c r="U1220" t="s">
        <v>3746</v>
      </c>
      <c r="V1220" t="s">
        <v>3746</v>
      </c>
      <c r="W1220" t="s">
        <v>4954</v>
      </c>
      <c r="X1220">
        <v>4</v>
      </c>
      <c r="Y1220" t="s">
        <v>6748</v>
      </c>
      <c r="Z1220" t="s">
        <v>8608</v>
      </c>
      <c r="AA1220">
        <v>1.4491228851971809</v>
      </c>
      <c r="AB1220" t="str">
        <f>HYPERLINK("Melting_Curves/meltCurve_P49788_2_RARRES1.pdf", "Melting_Curves/meltCurve_P49788_2_RARRES1.pdf")</f>
        <v>Melting_Curves/meltCurve_P49788_2_RARRES1.pdf</v>
      </c>
    </row>
    <row r="1221" spans="1:28" x14ac:dyDescent="0.25">
      <c r="A1221" t="s">
        <v>1225</v>
      </c>
      <c r="B1221">
        <v>1</v>
      </c>
      <c r="C1221">
        <v>1.11435429668747</v>
      </c>
      <c r="D1221">
        <v>1.49686029764762</v>
      </c>
      <c r="E1221">
        <v>1.72633701392223</v>
      </c>
      <c r="F1221">
        <v>1.37238598175708</v>
      </c>
      <c r="G1221">
        <v>1.5427364378300501</v>
      </c>
      <c r="H1221">
        <v>0.71349015842534802</v>
      </c>
      <c r="I1221">
        <v>1.48107537205953</v>
      </c>
      <c r="J1221">
        <v>1.50269803168507</v>
      </c>
      <c r="K1221">
        <v>1.33449831973116</v>
      </c>
      <c r="L1221">
        <v>10763.707435812301</v>
      </c>
      <c r="M1221">
        <v>250</v>
      </c>
      <c r="O1221">
        <v>43.052074675701803</v>
      </c>
      <c r="P1221">
        <v>0.57526293574817799</v>
      </c>
      <c r="Q1221">
        <v>1.39626020398783</v>
      </c>
      <c r="R1221">
        <v>0.23228836731702901</v>
      </c>
      <c r="S1221" t="s">
        <v>3095</v>
      </c>
      <c r="T1221" t="s">
        <v>3746</v>
      </c>
      <c r="U1221" t="s">
        <v>3746</v>
      </c>
      <c r="V1221" t="s">
        <v>3746</v>
      </c>
      <c r="W1221" t="s">
        <v>4955</v>
      </c>
      <c r="X1221">
        <v>3</v>
      </c>
      <c r="Y1221" t="s">
        <v>6749</v>
      </c>
      <c r="Z1221" t="s">
        <v>8609</v>
      </c>
      <c r="AA1221">
        <v>1.355880013762895</v>
      </c>
      <c r="AB1221" t="str">
        <f>HYPERLINK("Melting_Curves/meltCurve_P49789_FHIT.pdf", "Melting_Curves/meltCurve_P49789_FHIT.pdf")</f>
        <v>Melting_Curves/meltCurve_P49789_FHIT.pdf</v>
      </c>
    </row>
    <row r="1222" spans="1:28" x14ac:dyDescent="0.25">
      <c r="A1222" t="s">
        <v>1226</v>
      </c>
      <c r="B1222">
        <v>1</v>
      </c>
      <c r="C1222">
        <v>1.0166030101676</v>
      </c>
      <c r="D1222">
        <v>1.8847555764837201</v>
      </c>
      <c r="E1222">
        <v>3.3455414290448</v>
      </c>
      <c r="F1222">
        <v>2.7836202235825498</v>
      </c>
      <c r="G1222">
        <v>3.4318701058616301</v>
      </c>
      <c r="H1222">
        <v>2.51015887964562</v>
      </c>
      <c r="I1222">
        <v>3.7334100699349499</v>
      </c>
      <c r="J1222">
        <v>3.6149915415336902</v>
      </c>
      <c r="K1222">
        <v>3.4758192504229202</v>
      </c>
      <c r="L1222">
        <v>10869.593583551499</v>
      </c>
      <c r="M1222">
        <v>250</v>
      </c>
      <c r="O1222">
        <v>43.475590264566698</v>
      </c>
      <c r="P1222">
        <v>0.71879412317303903</v>
      </c>
      <c r="Q1222">
        <v>1.5</v>
      </c>
      <c r="R1222">
        <v>-1.3586574675461001</v>
      </c>
      <c r="S1222" t="s">
        <v>3096</v>
      </c>
      <c r="T1222" t="s">
        <v>3746</v>
      </c>
      <c r="U1222" t="s">
        <v>3746</v>
      </c>
      <c r="V1222" t="s">
        <v>3746</v>
      </c>
      <c r="W1222" t="s">
        <v>4956</v>
      </c>
      <c r="X1222">
        <v>2</v>
      </c>
      <c r="Y1222" t="s">
        <v>6750</v>
      </c>
      <c r="Z1222" t="s">
        <v>8610</v>
      </c>
      <c r="AA1222">
        <v>1.441988942493877</v>
      </c>
      <c r="AB1222" t="str">
        <f>HYPERLINK("Melting_Curves/meltCurve_P50135_HNMT.pdf", "Melting_Curves/meltCurve_P50135_HNMT.pdf")</f>
        <v>Melting_Curves/meltCurve_P50135_HNMT.pdf</v>
      </c>
    </row>
    <row r="1223" spans="1:28" x14ac:dyDescent="0.25">
      <c r="A1223" t="s">
        <v>1227</v>
      </c>
      <c r="B1223">
        <v>1</v>
      </c>
      <c r="C1223">
        <v>0.91367767300076896</v>
      </c>
      <c r="D1223">
        <v>1.4179937893507299</v>
      </c>
      <c r="E1223">
        <v>1.67636249679496</v>
      </c>
      <c r="F1223">
        <v>1.0660095153984199</v>
      </c>
      <c r="G1223">
        <v>1.0192302213612101</v>
      </c>
      <c r="H1223">
        <v>1.0605680749836199</v>
      </c>
      <c r="I1223">
        <v>1.4424375373920999</v>
      </c>
      <c r="J1223">
        <v>1.72938092931825</v>
      </c>
      <c r="K1223">
        <v>1.48007179282642</v>
      </c>
      <c r="L1223">
        <v>11109.714249509299</v>
      </c>
      <c r="M1223">
        <v>250</v>
      </c>
      <c r="O1223">
        <v>44.436013185575099</v>
      </c>
      <c r="P1223">
        <v>0.50847453020824096</v>
      </c>
      <c r="Q1223">
        <v>1.36151329460379</v>
      </c>
      <c r="R1223">
        <v>0.31533154169286698</v>
      </c>
      <c r="S1223" t="s">
        <v>3097</v>
      </c>
      <c r="T1223" t="s">
        <v>3746</v>
      </c>
      <c r="U1223" t="s">
        <v>3746</v>
      </c>
      <c r="V1223" t="s">
        <v>3746</v>
      </c>
      <c r="W1223" t="s">
        <v>4957</v>
      </c>
      <c r="X1223">
        <v>3</v>
      </c>
      <c r="Y1223" t="s">
        <v>6751</v>
      </c>
      <c r="Z1223" t="s">
        <v>8611</v>
      </c>
      <c r="AA1223">
        <v>1.307994906440644</v>
      </c>
      <c r="AB1223" t="str">
        <f>HYPERLINK("Melting_Curves/meltCurve_P50148_GNAQ.pdf", "Melting_Curves/meltCurve_P50148_GNAQ.pdf")</f>
        <v>Melting_Curves/meltCurve_P50148_GNAQ.pdf</v>
      </c>
    </row>
    <row r="1224" spans="1:28" x14ac:dyDescent="0.25">
      <c r="A1224" t="s">
        <v>1228</v>
      </c>
      <c r="B1224">
        <v>1</v>
      </c>
      <c r="C1224">
        <v>1.03934644061124</v>
      </c>
      <c r="D1224">
        <v>1.5145303772238501</v>
      </c>
      <c r="E1224">
        <v>1.9832673048057301</v>
      </c>
      <c r="F1224">
        <v>1.4883732375304499</v>
      </c>
      <c r="G1224">
        <v>1.9958660400108299</v>
      </c>
      <c r="H1224">
        <v>1.64841654568272</v>
      </c>
      <c r="I1224">
        <v>1.9098403011885099</v>
      </c>
      <c r="J1224">
        <v>1.9613425527202899</v>
      </c>
      <c r="K1224">
        <v>1.78183518295234</v>
      </c>
      <c r="L1224">
        <v>10830.544222758699</v>
      </c>
      <c r="M1224">
        <v>250</v>
      </c>
      <c r="O1224">
        <v>43.319404921321102</v>
      </c>
      <c r="P1224">
        <v>0.72138572435798498</v>
      </c>
      <c r="Q1224">
        <v>1.5</v>
      </c>
      <c r="R1224">
        <v>0.229909990106653</v>
      </c>
      <c r="S1224" t="s">
        <v>3098</v>
      </c>
      <c r="T1224" t="s">
        <v>3746</v>
      </c>
      <c r="U1224" t="s">
        <v>3746</v>
      </c>
      <c r="V1224" t="s">
        <v>3746</v>
      </c>
      <c r="W1224" t="s">
        <v>4958</v>
      </c>
      <c r="X1224">
        <v>4</v>
      </c>
      <c r="Y1224" t="s">
        <v>6752</v>
      </c>
      <c r="Z1224" t="s">
        <v>8612</v>
      </c>
      <c r="AA1224">
        <v>1.444592370273976</v>
      </c>
      <c r="AB1224" t="str">
        <f>HYPERLINK("Melting_Curves/meltCurve_P50502_ST13.pdf", "Melting_Curves/meltCurve_P50502_ST13.pdf")</f>
        <v>Melting_Curves/meltCurve_P50502_ST13.pdf</v>
      </c>
    </row>
    <row r="1225" spans="1:28" x14ac:dyDescent="0.25">
      <c r="A1225" t="s">
        <v>1229</v>
      </c>
      <c r="B1225">
        <v>1</v>
      </c>
      <c r="C1225">
        <v>1.03176592618204</v>
      </c>
      <c r="D1225">
        <v>1.3343417754343501</v>
      </c>
      <c r="E1225">
        <v>1.6835076497536501</v>
      </c>
      <c r="F1225">
        <v>1.0151266315152601</v>
      </c>
      <c r="G1225">
        <v>1.1172097847696401</v>
      </c>
      <c r="H1225">
        <v>0.68610078658483897</v>
      </c>
      <c r="I1225">
        <v>1.1475062667473399</v>
      </c>
      <c r="J1225">
        <v>1.1449131299161599</v>
      </c>
      <c r="K1225">
        <v>1.0848387933269901</v>
      </c>
      <c r="L1225">
        <v>10781.991947357899</v>
      </c>
      <c r="M1225">
        <v>250</v>
      </c>
      <c r="O1225">
        <v>43.125207879729402</v>
      </c>
      <c r="P1225">
        <v>0.21984400873842999</v>
      </c>
      <c r="Q1225">
        <v>1.1516930970900101</v>
      </c>
      <c r="R1225">
        <v>5.1103227100749098E-2</v>
      </c>
      <c r="S1225" t="s">
        <v>3099</v>
      </c>
      <c r="T1225" t="s">
        <v>3746</v>
      </c>
      <c r="U1225" t="s">
        <v>3746</v>
      </c>
      <c r="V1225" t="s">
        <v>3746</v>
      </c>
      <c r="W1225" t="s">
        <v>4959</v>
      </c>
      <c r="X1225">
        <v>3</v>
      </c>
      <c r="Y1225" t="s">
        <v>6753</v>
      </c>
      <c r="Z1225" t="s">
        <v>8613</v>
      </c>
      <c r="AA1225">
        <v>1.135865244882865</v>
      </c>
      <c r="AB1225" t="str">
        <f>HYPERLINK("Melting_Curves/meltCurve_P50591_TNFSF10.pdf", "Melting_Curves/meltCurve_P50591_TNFSF10.pdf")</f>
        <v>Melting_Curves/meltCurve_P50591_TNFSF10.pdf</v>
      </c>
    </row>
    <row r="1226" spans="1:28" x14ac:dyDescent="0.25">
      <c r="A1226" t="s">
        <v>1230</v>
      </c>
      <c r="B1226">
        <v>1</v>
      </c>
      <c r="C1226">
        <v>0.93135495449301398</v>
      </c>
      <c r="D1226">
        <v>1.77387514421228</v>
      </c>
      <c r="E1226">
        <v>1.9851942058710399</v>
      </c>
      <c r="F1226">
        <v>1.53781566465838</v>
      </c>
      <c r="G1226">
        <v>1.88860402512498</v>
      </c>
      <c r="H1226">
        <v>1.2322779130880701</v>
      </c>
      <c r="I1226">
        <v>2.1511344699397501</v>
      </c>
      <c r="J1226">
        <v>2.16933726445327</v>
      </c>
      <c r="K1226">
        <v>2.1551724137931001</v>
      </c>
      <c r="L1226">
        <v>11069.920602517799</v>
      </c>
      <c r="M1226">
        <v>250</v>
      </c>
      <c r="O1226">
        <v>44.276838995585003</v>
      </c>
      <c r="P1226">
        <v>0.70578645176145305</v>
      </c>
      <c r="Q1226">
        <v>1.5</v>
      </c>
      <c r="R1226">
        <v>0.113489379657748</v>
      </c>
      <c r="S1226" t="s">
        <v>3100</v>
      </c>
      <c r="T1226" t="s">
        <v>3746</v>
      </c>
      <c r="U1226" t="s">
        <v>3746</v>
      </c>
      <c r="V1226" t="s">
        <v>3746</v>
      </c>
      <c r="W1226" t="s">
        <v>4960</v>
      </c>
      <c r="X1226">
        <v>1</v>
      </c>
      <c r="Y1226" t="s">
        <v>6754</v>
      </c>
      <c r="Z1226" t="s">
        <v>8614</v>
      </c>
      <c r="AA1226">
        <v>1.428633104755398</v>
      </c>
      <c r="AB1226" t="str">
        <f>HYPERLINK("Melting_Curves/meltCurve_P50749_RASSF2.pdf", "Melting_Curves/meltCurve_P50749_RASSF2.pdf")</f>
        <v>Melting_Curves/meltCurve_P50749_RASSF2.pdf</v>
      </c>
    </row>
    <row r="1227" spans="1:28" x14ac:dyDescent="0.25">
      <c r="A1227" t="s">
        <v>1231</v>
      </c>
      <c r="B1227">
        <v>1</v>
      </c>
      <c r="C1227">
        <v>0.99889439359587995</v>
      </c>
      <c r="D1227">
        <v>1.7845047163209899</v>
      </c>
      <c r="E1227">
        <v>2.61902762616509</v>
      </c>
      <c r="F1227">
        <v>1.7724690010356301</v>
      </c>
      <c r="G1227">
        <v>2.3300305091387501</v>
      </c>
      <c r="H1227">
        <v>2.1972177904665902</v>
      </c>
      <c r="I1227">
        <v>3.4980546925294602</v>
      </c>
      <c r="J1227">
        <v>3.21997368936659</v>
      </c>
      <c r="K1227">
        <v>3.4402552691241901</v>
      </c>
      <c r="L1227">
        <v>10991.5340249529</v>
      </c>
      <c r="M1227">
        <v>250</v>
      </c>
      <c r="O1227">
        <v>43.963321692834903</v>
      </c>
      <c r="P1227">
        <v>0.71081979745036605</v>
      </c>
      <c r="Q1227">
        <v>1.5</v>
      </c>
      <c r="R1227">
        <v>-0.74507686131311401</v>
      </c>
      <c r="S1227" t="s">
        <v>3101</v>
      </c>
      <c r="T1227" t="s">
        <v>3746</v>
      </c>
      <c r="U1227" t="s">
        <v>3746</v>
      </c>
      <c r="V1227" t="s">
        <v>3746</v>
      </c>
      <c r="W1227" t="s">
        <v>4961</v>
      </c>
      <c r="X1227">
        <v>3</v>
      </c>
      <c r="Y1227" t="s">
        <v>6755</v>
      </c>
      <c r="Z1227" t="s">
        <v>8615</v>
      </c>
      <c r="AA1227">
        <v>1.4338591517274699</v>
      </c>
      <c r="AB1227" t="str">
        <f>HYPERLINK("Melting_Curves/meltCurve_P50897_PPT1.pdf", "Melting_Curves/meltCurve_P50897_PPT1.pdf")</f>
        <v>Melting_Curves/meltCurve_P50897_PPT1.pdf</v>
      </c>
    </row>
    <row r="1228" spans="1:28" x14ac:dyDescent="0.25">
      <c r="A1228" t="s">
        <v>1232</v>
      </c>
      <c r="B1228">
        <v>1</v>
      </c>
      <c r="C1228">
        <v>1.1215181824851399</v>
      </c>
      <c r="D1228">
        <v>1.5117018414810099</v>
      </c>
      <c r="E1228">
        <v>1.8861118583551399</v>
      </c>
      <c r="F1228">
        <v>1.3134919664473801</v>
      </c>
      <c r="G1228">
        <v>1.58237754029004</v>
      </c>
      <c r="H1228">
        <v>1.0851409845687301</v>
      </c>
      <c r="I1228">
        <v>1.7473282629429501</v>
      </c>
      <c r="J1228">
        <v>1.7448827370326001</v>
      </c>
      <c r="K1228">
        <v>1.6101342593724799</v>
      </c>
      <c r="L1228">
        <v>10773.738863951199</v>
      </c>
      <c r="M1228">
        <v>250</v>
      </c>
      <c r="O1228">
        <v>43.092197697164004</v>
      </c>
      <c r="P1228">
        <v>0.72518928553914597</v>
      </c>
      <c r="Q1228">
        <v>1.5</v>
      </c>
      <c r="R1228">
        <v>0.43206262989203198</v>
      </c>
      <c r="S1228" t="s">
        <v>3102</v>
      </c>
      <c r="T1228" t="s">
        <v>3746</v>
      </c>
      <c r="U1228" t="s">
        <v>3746</v>
      </c>
      <c r="V1228" t="s">
        <v>3746</v>
      </c>
      <c r="W1228" t="s">
        <v>4962</v>
      </c>
      <c r="X1228">
        <v>4</v>
      </c>
      <c r="Y1228" t="s">
        <v>6756</v>
      </c>
      <c r="Z1228" t="s">
        <v>8616</v>
      </c>
      <c r="AA1228">
        <v>1.448379593572096</v>
      </c>
      <c r="AB1228" t="str">
        <f>HYPERLINK("Melting_Curves/meltCurve_P51148_RAB5C.pdf", "Melting_Curves/meltCurve_P51148_RAB5C.pdf")</f>
        <v>Melting_Curves/meltCurve_P51148_RAB5C.pdf</v>
      </c>
    </row>
    <row r="1229" spans="1:28" x14ac:dyDescent="0.25">
      <c r="A1229" t="s">
        <v>1233</v>
      </c>
      <c r="B1229">
        <v>1</v>
      </c>
      <c r="C1229">
        <v>0.99862943292787398</v>
      </c>
      <c r="D1229">
        <v>1.5401747473017</v>
      </c>
      <c r="E1229">
        <v>2.0810347781394598</v>
      </c>
      <c r="F1229">
        <v>1.7360801781737201</v>
      </c>
      <c r="G1229">
        <v>2.19496316600994</v>
      </c>
      <c r="H1229">
        <v>1.38538632859346</v>
      </c>
      <c r="I1229">
        <v>2.3000685283536102</v>
      </c>
      <c r="J1229">
        <v>2.2792530409456901</v>
      </c>
      <c r="K1229">
        <v>2.08231968476957</v>
      </c>
      <c r="L1229">
        <v>11029.8104597</v>
      </c>
      <c r="M1229">
        <v>250</v>
      </c>
      <c r="O1229">
        <v>44.1164185273743</v>
      </c>
      <c r="P1229">
        <v>0.70835305990803199</v>
      </c>
      <c r="Q1229">
        <v>1.5</v>
      </c>
      <c r="R1229">
        <v>-7.5325009551057101E-2</v>
      </c>
      <c r="S1229" t="s">
        <v>3103</v>
      </c>
      <c r="T1229" t="s">
        <v>3746</v>
      </c>
      <c r="U1229" t="s">
        <v>3746</v>
      </c>
      <c r="V1229" t="s">
        <v>3746</v>
      </c>
      <c r="W1229" t="s">
        <v>4963</v>
      </c>
      <c r="X1229">
        <v>9</v>
      </c>
      <c r="Y1229" t="s">
        <v>6757</v>
      </c>
      <c r="Z1229" t="s">
        <v>8617</v>
      </c>
      <c r="AA1229">
        <v>1.4313072550619179</v>
      </c>
      <c r="AB1229" t="str">
        <f>HYPERLINK("Melting_Curves/meltCurve_P51149_RAB7A.pdf", "Melting_Curves/meltCurve_P51149_RAB7A.pdf")</f>
        <v>Melting_Curves/meltCurve_P51149_RAB7A.pdf</v>
      </c>
    </row>
    <row r="1230" spans="1:28" x14ac:dyDescent="0.25">
      <c r="A1230" t="s">
        <v>1234</v>
      </c>
      <c r="B1230">
        <v>1</v>
      </c>
      <c r="C1230">
        <v>0.94259457677408698</v>
      </c>
      <c r="D1230">
        <v>1.54409461798401</v>
      </c>
      <c r="E1230">
        <v>1.78463694057529</v>
      </c>
      <c r="F1230">
        <v>1.23318635127339</v>
      </c>
      <c r="G1230">
        <v>1.4017349377730199</v>
      </c>
      <c r="H1230">
        <v>0.98279485700156599</v>
      </c>
      <c r="I1230">
        <v>1.56214456441111</v>
      </c>
      <c r="J1230">
        <v>1.5850984917168101</v>
      </c>
      <c r="K1230">
        <v>1.4056704854529001</v>
      </c>
      <c r="L1230">
        <v>11086.798680702799</v>
      </c>
      <c r="M1230">
        <v>250</v>
      </c>
      <c r="O1230">
        <v>44.344356882791303</v>
      </c>
      <c r="P1230">
        <v>0.616515570457702</v>
      </c>
      <c r="Q1230">
        <v>1.43742378231886</v>
      </c>
      <c r="R1230">
        <v>0.44973321622261098</v>
      </c>
      <c r="S1230" t="s">
        <v>3104</v>
      </c>
      <c r="T1230" t="s">
        <v>3746</v>
      </c>
      <c r="U1230" t="s">
        <v>3746</v>
      </c>
      <c r="V1230" t="s">
        <v>3746</v>
      </c>
      <c r="W1230" t="s">
        <v>4964</v>
      </c>
      <c r="X1230">
        <v>2</v>
      </c>
      <c r="Y1230" t="s">
        <v>6758</v>
      </c>
      <c r="Z1230" t="s">
        <v>8618</v>
      </c>
      <c r="AA1230">
        <v>1.374004192951332</v>
      </c>
      <c r="AB1230" t="str">
        <f>HYPERLINK("Melting_Curves/meltCurve_P51151_RAB9A.pdf", "Melting_Curves/meltCurve_P51151_RAB9A.pdf")</f>
        <v>Melting_Curves/meltCurve_P51151_RAB9A.pdf</v>
      </c>
    </row>
    <row r="1231" spans="1:28" x14ac:dyDescent="0.25">
      <c r="A1231" t="s">
        <v>1235</v>
      </c>
      <c r="B1231">
        <v>1</v>
      </c>
      <c r="C1231">
        <v>0.98066798460097804</v>
      </c>
      <c r="D1231">
        <v>1.49422536676725</v>
      </c>
      <c r="E1231">
        <v>1.8383102694828799</v>
      </c>
      <c r="F1231">
        <v>1.3042347310373501</v>
      </c>
      <c r="G1231">
        <v>1.3501196545624801</v>
      </c>
      <c r="H1231">
        <v>0.99531786494641605</v>
      </c>
      <c r="I1231">
        <v>1.5705961918634901</v>
      </c>
      <c r="J1231">
        <v>1.57080428675476</v>
      </c>
      <c r="K1231">
        <v>1.41546145042139</v>
      </c>
      <c r="L1231">
        <v>11078.7220785112</v>
      </c>
      <c r="M1231">
        <v>250</v>
      </c>
      <c r="O1231">
        <v>44.312052468090101</v>
      </c>
      <c r="P1231">
        <v>0.62396713450879604</v>
      </c>
      <c r="Q1231">
        <v>1.4423882297955199</v>
      </c>
      <c r="R1231">
        <v>0.437016418512366</v>
      </c>
      <c r="S1231" t="s">
        <v>3105</v>
      </c>
      <c r="T1231" t="s">
        <v>3746</v>
      </c>
      <c r="U1231" t="s">
        <v>3746</v>
      </c>
      <c r="V1231" t="s">
        <v>3746</v>
      </c>
      <c r="W1231" t="s">
        <v>4965</v>
      </c>
      <c r="X1231">
        <v>4</v>
      </c>
      <c r="Y1231" t="s">
        <v>6759</v>
      </c>
      <c r="Z1231" t="s">
        <v>8619</v>
      </c>
      <c r="AA1231">
        <v>1.3787252976377731</v>
      </c>
      <c r="AB1231" t="str">
        <f>HYPERLINK("Melting_Curves/meltCurve_P51153_RAB13.pdf", "Melting_Curves/meltCurve_P51153_RAB13.pdf")</f>
        <v>Melting_Curves/meltCurve_P51153_RAB13.pdf</v>
      </c>
    </row>
    <row r="1232" spans="1:28" x14ac:dyDescent="0.25">
      <c r="A1232" t="s">
        <v>1236</v>
      </c>
      <c r="B1232">
        <v>1</v>
      </c>
      <c r="C1232">
        <v>1.2122104918569401</v>
      </c>
      <c r="D1232">
        <v>1.5034781897045599</v>
      </c>
      <c r="E1232">
        <v>1.8458138963908699</v>
      </c>
      <c r="F1232">
        <v>1.23659873966773</v>
      </c>
      <c r="G1232">
        <v>1.3095179638268299</v>
      </c>
      <c r="H1232">
        <v>0.95908012112284102</v>
      </c>
      <c r="I1232">
        <v>1.21474752434733</v>
      </c>
      <c r="J1232">
        <v>1.34266306571733</v>
      </c>
      <c r="K1232">
        <v>1.2643424175464399</v>
      </c>
      <c r="L1232">
        <v>10701.364655602199</v>
      </c>
      <c r="M1232">
        <v>250</v>
      </c>
      <c r="O1232">
        <v>42.802718471791401</v>
      </c>
      <c r="P1232">
        <v>0.48847690658888898</v>
      </c>
      <c r="Q1232">
        <v>1.3345302387316</v>
      </c>
      <c r="R1232">
        <v>0.187124548724623</v>
      </c>
      <c r="S1232" t="s">
        <v>3106</v>
      </c>
      <c r="T1232" t="s">
        <v>3746</v>
      </c>
      <c r="U1232" t="s">
        <v>3746</v>
      </c>
      <c r="V1232" t="s">
        <v>3746</v>
      </c>
      <c r="W1232" t="s">
        <v>4966</v>
      </c>
      <c r="X1232">
        <v>1</v>
      </c>
      <c r="Y1232" t="s">
        <v>6760</v>
      </c>
      <c r="Z1232" t="s">
        <v>8620</v>
      </c>
      <c r="AA1232">
        <v>1.303221416381656</v>
      </c>
      <c r="AB1232" t="str">
        <f>HYPERLINK("Melting_Curves/meltCurve_P51511_MMP15.pdf", "Melting_Curves/meltCurve_P51511_MMP15.pdf")</f>
        <v>Melting_Curves/meltCurve_P51511_MMP15.pdf</v>
      </c>
    </row>
    <row r="1233" spans="1:28" x14ac:dyDescent="0.25">
      <c r="A1233" t="s">
        <v>1237</v>
      </c>
      <c r="B1233">
        <v>1</v>
      </c>
      <c r="C1233">
        <v>1.1755458515283801</v>
      </c>
      <c r="D1233">
        <v>2.0325274257109398</v>
      </c>
      <c r="E1233">
        <v>2.9187346895303001</v>
      </c>
      <c r="F1233">
        <v>1.9871338800724301</v>
      </c>
      <c r="G1233">
        <v>2.4858877409734799</v>
      </c>
      <c r="H1233">
        <v>1.44873788475876</v>
      </c>
      <c r="I1233">
        <v>2.5225263606347901</v>
      </c>
      <c r="J1233">
        <v>2.33187772925764</v>
      </c>
      <c r="K1233">
        <v>2.3148365108105202</v>
      </c>
      <c r="L1233">
        <v>10751.3509954731</v>
      </c>
      <c r="M1233">
        <v>250</v>
      </c>
      <c r="O1233">
        <v>43.002666772744298</v>
      </c>
      <c r="P1233">
        <v>0.72669936811452096</v>
      </c>
      <c r="Q1233">
        <v>1.5</v>
      </c>
      <c r="R1233">
        <v>-0.66824169134007305</v>
      </c>
      <c r="S1233" t="s">
        <v>3107</v>
      </c>
      <c r="T1233" t="s">
        <v>3746</v>
      </c>
      <c r="U1233" t="s">
        <v>3746</v>
      </c>
      <c r="V1233" t="s">
        <v>3746</v>
      </c>
      <c r="W1233" t="s">
        <v>4967</v>
      </c>
      <c r="X1233">
        <v>3</v>
      </c>
      <c r="Y1233" t="s">
        <v>6761</v>
      </c>
      <c r="Z1233" t="s">
        <v>8621</v>
      </c>
      <c r="AA1233">
        <v>1.449872196710664</v>
      </c>
      <c r="AB1233" t="str">
        <f>HYPERLINK("Melting_Curves/meltCurve_P51580_TPMT.pdf", "Melting_Curves/meltCurve_P51580_TPMT.pdf")</f>
        <v>Melting_Curves/meltCurve_P51580_TPMT.pdf</v>
      </c>
    </row>
    <row r="1234" spans="1:28" x14ac:dyDescent="0.25">
      <c r="A1234" t="s">
        <v>1238</v>
      </c>
      <c r="B1234">
        <v>1</v>
      </c>
      <c r="C1234">
        <v>0.88962203573721899</v>
      </c>
      <c r="D1234">
        <v>1.0777184863715901</v>
      </c>
      <c r="E1234">
        <v>1.14135464871687</v>
      </c>
      <c r="F1234">
        <v>0.76451962889976299</v>
      </c>
      <c r="G1234">
        <v>0.92086442441821803</v>
      </c>
      <c r="H1234">
        <v>0.70225627172685601</v>
      </c>
      <c r="I1234">
        <v>0.81475986980492898</v>
      </c>
      <c r="J1234">
        <v>0.76961229324889802</v>
      </c>
      <c r="K1234">
        <v>0.70511259216615396</v>
      </c>
      <c r="L1234">
        <v>12922.6870574481</v>
      </c>
      <c r="M1234">
        <v>250</v>
      </c>
      <c r="O1234">
        <v>51.687440378287697</v>
      </c>
      <c r="P1234">
        <v>-0.26668170694767102</v>
      </c>
      <c r="Q1234">
        <v>0.779454483070815</v>
      </c>
      <c r="R1234">
        <v>0.66922432296965695</v>
      </c>
      <c r="S1234" t="s">
        <v>3108</v>
      </c>
      <c r="T1234" t="s">
        <v>3746</v>
      </c>
      <c r="U1234" t="s">
        <v>3746</v>
      </c>
      <c r="V1234" t="s">
        <v>3746</v>
      </c>
      <c r="W1234" t="s">
        <v>4968</v>
      </c>
      <c r="X1234">
        <v>6</v>
      </c>
      <c r="Y1234" t="s">
        <v>6762</v>
      </c>
      <c r="Z1234" t="s">
        <v>8622</v>
      </c>
      <c r="AA1234">
        <v>0.86541922723336373</v>
      </c>
      <c r="AB1234" t="str">
        <f>HYPERLINK("Melting_Curves/meltCurve_P51688_SGSH.pdf", "Melting_Curves/meltCurve_P51688_SGSH.pdf")</f>
        <v>Melting_Curves/meltCurve_P51688_SGSH.pdf</v>
      </c>
    </row>
    <row r="1235" spans="1:28" x14ac:dyDescent="0.25">
      <c r="A1235" t="s">
        <v>1239</v>
      </c>
      <c r="B1235">
        <v>1</v>
      </c>
      <c r="C1235">
        <v>1.00388341973942</v>
      </c>
      <c r="D1235">
        <v>1.2547911691035101</v>
      </c>
      <c r="E1235">
        <v>1.4844954466903599</v>
      </c>
      <c r="F1235">
        <v>0.91759383312945397</v>
      </c>
      <c r="G1235">
        <v>1.1258616337546801</v>
      </c>
      <c r="H1235">
        <v>0.74266519096716599</v>
      </c>
      <c r="I1235">
        <v>1.0278635366303599</v>
      </c>
      <c r="J1235">
        <v>1.0587173064600699</v>
      </c>
      <c r="K1235">
        <v>0.95939884662433705</v>
      </c>
      <c r="L1235">
        <v>10847.495658869901</v>
      </c>
      <c r="M1235">
        <v>250</v>
      </c>
      <c r="O1235">
        <v>43.387206118729303</v>
      </c>
      <c r="P1235">
        <v>0.102886530008668</v>
      </c>
      <c r="Q1235">
        <v>1.0714233450114501</v>
      </c>
      <c r="R1235">
        <v>2.1399975742123201E-2</v>
      </c>
      <c r="S1235" t="s">
        <v>3109</v>
      </c>
      <c r="T1235" t="s">
        <v>3746</v>
      </c>
      <c r="U1235" t="s">
        <v>3746</v>
      </c>
      <c r="V1235" t="s">
        <v>3746</v>
      </c>
      <c r="W1235" t="s">
        <v>4969</v>
      </c>
      <c r="X1235">
        <v>8</v>
      </c>
      <c r="Y1235" t="s">
        <v>6763</v>
      </c>
      <c r="Z1235" t="s">
        <v>8623</v>
      </c>
      <c r="AA1235">
        <v>1.063347109567979</v>
      </c>
      <c r="AB1235" t="str">
        <f>HYPERLINK("Melting_Curves/meltCurve_P51884_LUM.pdf", "Melting_Curves/meltCurve_P51884_LUM.pdf")</f>
        <v>Melting_Curves/meltCurve_P51884_LUM.pdf</v>
      </c>
    </row>
    <row r="1236" spans="1:28" x14ac:dyDescent="0.25">
      <c r="A1236" t="s">
        <v>1240</v>
      </c>
      <c r="B1236">
        <v>1</v>
      </c>
      <c r="C1236">
        <v>0.99231900637359005</v>
      </c>
      <c r="D1236">
        <v>1.27545350547475</v>
      </c>
      <c r="E1236">
        <v>1.5055564634744201</v>
      </c>
      <c r="F1236">
        <v>1.0740317045268799</v>
      </c>
      <c r="G1236">
        <v>1.3614152639320101</v>
      </c>
      <c r="H1236">
        <v>0.84924007190717399</v>
      </c>
      <c r="I1236">
        <v>1.4445987906520701</v>
      </c>
      <c r="J1236">
        <v>1.3715476385030201</v>
      </c>
      <c r="K1236">
        <v>1.3771041019774499</v>
      </c>
      <c r="L1236">
        <v>11336.6459572244</v>
      </c>
      <c r="M1236">
        <v>250</v>
      </c>
      <c r="O1236">
        <v>45.343682128167501</v>
      </c>
      <c r="P1236">
        <v>0.39056752956573199</v>
      </c>
      <c r="Q1236">
        <v>1.2833563171073801</v>
      </c>
      <c r="R1236">
        <v>0.28408018989667599</v>
      </c>
      <c r="S1236" t="s">
        <v>3110</v>
      </c>
      <c r="T1236" t="s">
        <v>3746</v>
      </c>
      <c r="U1236" t="s">
        <v>3746</v>
      </c>
      <c r="V1236" t="s">
        <v>3746</v>
      </c>
      <c r="W1236" t="s">
        <v>4970</v>
      </c>
      <c r="X1236">
        <v>5</v>
      </c>
      <c r="Y1236" t="s">
        <v>6764</v>
      </c>
      <c r="Z1236" t="s">
        <v>8624</v>
      </c>
      <c r="AA1236">
        <v>1.2328341567940171</v>
      </c>
      <c r="AB1236" t="str">
        <f>HYPERLINK("Melting_Curves/meltCurve_P51993_FUT6.pdf", "Melting_Curves/meltCurve_P51993_FUT6.pdf")</f>
        <v>Melting_Curves/meltCurve_P51993_FUT6.pdf</v>
      </c>
    </row>
    <row r="1237" spans="1:28" x14ac:dyDescent="0.25">
      <c r="A1237" t="s">
        <v>1241</v>
      </c>
      <c r="B1237">
        <v>1</v>
      </c>
      <c r="C1237">
        <v>1.3173845303312099</v>
      </c>
      <c r="D1237">
        <v>1.8745539528572099</v>
      </c>
      <c r="E1237">
        <v>2.1341910840830298</v>
      </c>
      <c r="F1237">
        <v>1.8512338543499001</v>
      </c>
      <c r="G1237">
        <v>1.3496004422777299</v>
      </c>
      <c r="H1237">
        <v>1.15203296979444</v>
      </c>
      <c r="I1237">
        <v>1.46599989948233</v>
      </c>
      <c r="J1237">
        <v>1.7117655928029401</v>
      </c>
      <c r="K1237">
        <v>1.71920390008544</v>
      </c>
      <c r="L1237">
        <v>10701.287807594101</v>
      </c>
      <c r="M1237">
        <v>250</v>
      </c>
      <c r="O1237">
        <v>42.802401280335197</v>
      </c>
      <c r="P1237">
        <v>0.73009904248550495</v>
      </c>
      <c r="Q1237">
        <v>1.5</v>
      </c>
      <c r="R1237">
        <v>0.21683030434225101</v>
      </c>
      <c r="S1237" t="s">
        <v>3111</v>
      </c>
      <c r="T1237" t="s">
        <v>3746</v>
      </c>
      <c r="U1237" t="s">
        <v>3746</v>
      </c>
      <c r="V1237" t="s">
        <v>3746</v>
      </c>
      <c r="W1237" t="s">
        <v>4971</v>
      </c>
      <c r="X1237">
        <v>2</v>
      </c>
      <c r="Y1237" t="s">
        <v>6765</v>
      </c>
      <c r="Z1237" t="s">
        <v>8625</v>
      </c>
      <c r="AA1237">
        <v>1.4532099182464779</v>
      </c>
      <c r="AB1237" t="str">
        <f>HYPERLINK("Melting_Curves/meltCurve_P52306_4_RAP1GDS1.pdf", "Melting_Curves/meltCurve_P52306_4_RAP1GDS1.pdf")</f>
        <v>Melting_Curves/meltCurve_P52306_4_RAP1GDS1.pdf</v>
      </c>
    </row>
    <row r="1238" spans="1:28" x14ac:dyDescent="0.25">
      <c r="A1238" t="s">
        <v>1242</v>
      </c>
      <c r="B1238">
        <v>1</v>
      </c>
      <c r="C1238">
        <v>1.04959212097095</v>
      </c>
      <c r="D1238">
        <v>1.27511937922801</v>
      </c>
      <c r="E1238">
        <v>1.3850974930362101</v>
      </c>
      <c r="F1238">
        <v>1.17309988062077</v>
      </c>
      <c r="G1238">
        <v>1.2565161161957801</v>
      </c>
      <c r="H1238">
        <v>0.67847194588141702</v>
      </c>
      <c r="I1238">
        <v>1.0790887385594901</v>
      </c>
      <c r="J1238">
        <v>1.05322323915639</v>
      </c>
      <c r="K1238">
        <v>0.94782132908873895</v>
      </c>
      <c r="L1238">
        <v>15000</v>
      </c>
      <c r="M1238">
        <v>211.38614051789301</v>
      </c>
      <c r="Q1238">
        <v>0</v>
      </c>
      <c r="R1238">
        <v>-0.21842086760519699</v>
      </c>
      <c r="S1238" t="s">
        <v>3112</v>
      </c>
      <c r="T1238" t="s">
        <v>3746</v>
      </c>
      <c r="U1238" t="s">
        <v>3746</v>
      </c>
      <c r="V1238" t="s">
        <v>3746</v>
      </c>
      <c r="W1238" t="s">
        <v>4972</v>
      </c>
      <c r="X1238">
        <v>3</v>
      </c>
      <c r="Y1238" t="s">
        <v>6766</v>
      </c>
      <c r="Z1238" t="s">
        <v>8626</v>
      </c>
      <c r="AA1238">
        <v>0.99942196162315122</v>
      </c>
      <c r="AB1238" t="str">
        <f>HYPERLINK("Melting_Curves/meltCurve_P52758_HRSP12.pdf", "Melting_Curves/meltCurve_P52758_HRSP12.pdf")</f>
        <v>Melting_Curves/meltCurve_P52758_HRSP12.pdf</v>
      </c>
    </row>
    <row r="1239" spans="1:28" x14ac:dyDescent="0.25">
      <c r="A1239" t="s">
        <v>1243</v>
      </c>
      <c r="B1239">
        <v>1</v>
      </c>
      <c r="C1239">
        <v>1.06171490988531</v>
      </c>
      <c r="D1239">
        <v>1.61834069807855</v>
      </c>
      <c r="E1239">
        <v>2.3784320540191599</v>
      </c>
      <c r="F1239">
        <v>2.2205948066133798</v>
      </c>
      <c r="G1239">
        <v>2.6027009582443799</v>
      </c>
      <c r="H1239">
        <v>1.4480413087731501</v>
      </c>
      <c r="I1239">
        <v>2.3761481555036998</v>
      </c>
      <c r="J1239">
        <v>2.3879648478228499</v>
      </c>
      <c r="K1239">
        <v>2.1477086539893699</v>
      </c>
      <c r="L1239">
        <v>10809.098520084801</v>
      </c>
      <c r="M1239">
        <v>250</v>
      </c>
      <c r="O1239">
        <v>43.233627267646099</v>
      </c>
      <c r="P1239">
        <v>0.722816983749062</v>
      </c>
      <c r="Q1239">
        <v>1.5</v>
      </c>
      <c r="R1239">
        <v>-0.43189196702369798</v>
      </c>
      <c r="S1239" t="s">
        <v>3113</v>
      </c>
      <c r="T1239" t="s">
        <v>3746</v>
      </c>
      <c r="U1239" t="s">
        <v>3746</v>
      </c>
      <c r="V1239" t="s">
        <v>3746</v>
      </c>
      <c r="W1239" t="s">
        <v>4973</v>
      </c>
      <c r="X1239">
        <v>6</v>
      </c>
      <c r="Y1239" t="s">
        <v>6767</v>
      </c>
      <c r="Z1239" t="s">
        <v>8627</v>
      </c>
      <c r="AA1239">
        <v>1.446022159057641</v>
      </c>
      <c r="AB1239" t="str">
        <f>HYPERLINK("Melting_Curves/meltCurve_P52907_CAPZA1.pdf", "Melting_Curves/meltCurve_P52907_CAPZA1.pdf")</f>
        <v>Melting_Curves/meltCurve_P52907_CAPZA1.pdf</v>
      </c>
    </row>
    <row r="1240" spans="1:28" x14ac:dyDescent="0.25">
      <c r="A1240" t="s">
        <v>1244</v>
      </c>
      <c r="B1240">
        <v>1</v>
      </c>
      <c r="C1240">
        <v>1.08308323329332</v>
      </c>
      <c r="D1240">
        <v>1.56550120048019</v>
      </c>
      <c r="E1240">
        <v>1.94797919167667</v>
      </c>
      <c r="F1240">
        <v>1.5114545818327301</v>
      </c>
      <c r="G1240">
        <v>1.95350640256102</v>
      </c>
      <c r="H1240">
        <v>1.09351240496198</v>
      </c>
      <c r="I1240">
        <v>1.6523859543817501</v>
      </c>
      <c r="J1240">
        <v>1.65903861544618</v>
      </c>
      <c r="K1240">
        <v>1.55749799919968</v>
      </c>
      <c r="L1240">
        <v>10794.199517999001</v>
      </c>
      <c r="M1240">
        <v>250</v>
      </c>
      <c r="O1240">
        <v>43.174028978105</v>
      </c>
      <c r="P1240">
        <v>0.72381467230525298</v>
      </c>
      <c r="Q1240">
        <v>1.5</v>
      </c>
      <c r="R1240">
        <v>0.40297274276754602</v>
      </c>
      <c r="S1240" t="s">
        <v>3114</v>
      </c>
      <c r="T1240" t="s">
        <v>3746</v>
      </c>
      <c r="U1240" t="s">
        <v>3746</v>
      </c>
      <c r="V1240" t="s">
        <v>3746</v>
      </c>
      <c r="W1240" t="s">
        <v>4974</v>
      </c>
      <c r="X1240">
        <v>2</v>
      </c>
      <c r="Y1240" t="s">
        <v>6768</v>
      </c>
      <c r="Z1240" t="s">
        <v>8628</v>
      </c>
      <c r="AA1240">
        <v>1.4470154781565709</v>
      </c>
      <c r="AB1240" t="str">
        <f>HYPERLINK("Melting_Curves/meltCurve_P53367_ARFIP1.pdf", "Melting_Curves/meltCurve_P53367_ARFIP1.pdf")</f>
        <v>Melting_Curves/meltCurve_P53367_ARFIP1.pdf</v>
      </c>
    </row>
    <row r="1241" spans="1:28" x14ac:dyDescent="0.25">
      <c r="A1241" t="s">
        <v>1245</v>
      </c>
      <c r="B1241">
        <v>1</v>
      </c>
      <c r="C1241">
        <v>0.97629499561018396</v>
      </c>
      <c r="D1241">
        <v>1.2847736109369099</v>
      </c>
      <c r="E1241">
        <v>1.5536184623103</v>
      </c>
      <c r="F1241">
        <v>1.1248588987833901</v>
      </c>
      <c r="G1241">
        <v>1.3441615452150999</v>
      </c>
      <c r="H1241">
        <v>1.5290354947949301</v>
      </c>
      <c r="I1241">
        <v>3.15295371880095</v>
      </c>
      <c r="J1241">
        <v>3.8716919603662401</v>
      </c>
      <c r="K1241">
        <v>3.7187382415652799</v>
      </c>
      <c r="L1241">
        <v>11275.6516367038</v>
      </c>
      <c r="M1241">
        <v>245.40286941616699</v>
      </c>
      <c r="O1241">
        <v>45.944462340736997</v>
      </c>
      <c r="P1241">
        <v>0.66766172556505698</v>
      </c>
      <c r="Q1241">
        <v>1.5</v>
      </c>
      <c r="R1241">
        <v>-0.126077389494998</v>
      </c>
      <c r="S1241" t="s">
        <v>3115</v>
      </c>
      <c r="T1241" t="s">
        <v>3746</v>
      </c>
      <c r="U1241" t="s">
        <v>3746</v>
      </c>
      <c r="V1241" t="s">
        <v>3746</v>
      </c>
      <c r="W1241" t="s">
        <v>4975</v>
      </c>
      <c r="X1241">
        <v>25</v>
      </c>
      <c r="Y1241" t="s">
        <v>6769</v>
      </c>
      <c r="Z1241" t="s">
        <v>8629</v>
      </c>
      <c r="AA1241">
        <v>1.400832932612281</v>
      </c>
      <c r="AB1241" t="str">
        <f>HYPERLINK("Melting_Curves/meltCurve_P53396_ACLY.pdf", "Melting_Curves/meltCurve_P53396_ACLY.pdf")</f>
        <v>Melting_Curves/meltCurve_P53396_ACLY.pdf</v>
      </c>
    </row>
    <row r="1242" spans="1:28" x14ac:dyDescent="0.25">
      <c r="A1242" t="s">
        <v>1246</v>
      </c>
      <c r="B1242">
        <v>1</v>
      </c>
      <c r="C1242">
        <v>1.0258744781920299</v>
      </c>
      <c r="D1242">
        <v>1.6333669209730799</v>
      </c>
      <c r="E1242">
        <v>2.1275370663595798</v>
      </c>
      <c r="F1242">
        <v>1.55444796314956</v>
      </c>
      <c r="G1242">
        <v>1.9921548870015799</v>
      </c>
      <c r="H1242">
        <v>1.40751403483518</v>
      </c>
      <c r="I1242">
        <v>2.1065927738592198</v>
      </c>
      <c r="J1242">
        <v>2.1250539801353101</v>
      </c>
      <c r="K1242">
        <v>2.08381315675831</v>
      </c>
      <c r="L1242">
        <v>10849.759218254199</v>
      </c>
      <c r="M1242">
        <v>250</v>
      </c>
      <c r="O1242">
        <v>43.396259643252399</v>
      </c>
      <c r="P1242">
        <v>0.72010814545903601</v>
      </c>
      <c r="Q1242">
        <v>1.5</v>
      </c>
      <c r="R1242">
        <v>2.8586967414323601E-2</v>
      </c>
      <c r="S1242" t="s">
        <v>3116</v>
      </c>
      <c r="T1242" t="s">
        <v>3746</v>
      </c>
      <c r="U1242" t="s">
        <v>3746</v>
      </c>
      <c r="V1242" t="s">
        <v>3746</v>
      </c>
      <c r="W1242" t="s">
        <v>4976</v>
      </c>
      <c r="X1242">
        <v>5</v>
      </c>
      <c r="Y1242" t="s">
        <v>6770</v>
      </c>
      <c r="Z1242" t="s">
        <v>8630</v>
      </c>
      <c r="AA1242">
        <v>1.443311303131146</v>
      </c>
      <c r="AB1242" t="str">
        <f>HYPERLINK("Melting_Curves/meltCurve_P53602_MVD.pdf", "Melting_Curves/meltCurve_P53602_MVD.pdf")</f>
        <v>Melting_Curves/meltCurve_P53602_MVD.pdf</v>
      </c>
    </row>
    <row r="1243" spans="1:28" x14ac:dyDescent="0.25">
      <c r="A1243" t="s">
        <v>1247</v>
      </c>
      <c r="B1243">
        <v>1</v>
      </c>
      <c r="C1243">
        <v>1.10634962643269</v>
      </c>
      <c r="D1243">
        <v>1.87331283972232</v>
      </c>
      <c r="E1243">
        <v>2.94761914456139</v>
      </c>
      <c r="F1243">
        <v>2.3460434437409701</v>
      </c>
      <c r="G1243">
        <v>3.0003460841595202</v>
      </c>
      <c r="H1243">
        <v>2.0443394882026</v>
      </c>
      <c r="I1243">
        <v>3.26907025508438</v>
      </c>
      <c r="J1243">
        <v>3.71653671545775</v>
      </c>
      <c r="K1243">
        <v>3.7118544003583001</v>
      </c>
      <c r="L1243">
        <v>10781.144404971999</v>
      </c>
      <c r="M1243">
        <v>250</v>
      </c>
      <c r="O1243">
        <v>43.121817932756997</v>
      </c>
      <c r="P1243">
        <v>0.72469115483983204</v>
      </c>
      <c r="Q1243">
        <v>1.5</v>
      </c>
      <c r="R1243">
        <v>-1.0929908058657201</v>
      </c>
      <c r="S1243" t="s">
        <v>3117</v>
      </c>
      <c r="T1243" t="s">
        <v>3746</v>
      </c>
      <c r="U1243" t="s">
        <v>3746</v>
      </c>
      <c r="V1243" t="s">
        <v>3746</v>
      </c>
      <c r="W1243" t="s">
        <v>4977</v>
      </c>
      <c r="X1243">
        <v>9</v>
      </c>
      <c r="Y1243" t="s">
        <v>6771</v>
      </c>
      <c r="Z1243" t="s">
        <v>8631</v>
      </c>
      <c r="AA1243">
        <v>1.4478858648458131</v>
      </c>
      <c r="AB1243" t="str">
        <f>HYPERLINK("Melting_Curves/meltCurve_P53634_CTSC.pdf", "Melting_Curves/meltCurve_P53634_CTSC.pdf")</f>
        <v>Melting_Curves/meltCurve_P53634_CTSC.pdf</v>
      </c>
    </row>
    <row r="1244" spans="1:28" x14ac:dyDescent="0.25">
      <c r="A1244" t="s">
        <v>1248</v>
      </c>
      <c r="B1244">
        <v>1</v>
      </c>
      <c r="C1244">
        <v>0.80330502215657296</v>
      </c>
      <c r="D1244">
        <v>1.2100627769571599</v>
      </c>
      <c r="E1244">
        <v>1.7040251107828699</v>
      </c>
      <c r="F1244">
        <v>0.90323116691285099</v>
      </c>
      <c r="G1244">
        <v>1.0696454948301299</v>
      </c>
      <c r="H1244">
        <v>0.88838626292466805</v>
      </c>
      <c r="I1244">
        <v>1.2383493353028101</v>
      </c>
      <c r="J1244">
        <v>1.2508308714918801</v>
      </c>
      <c r="K1244">
        <v>0.994442392909897</v>
      </c>
      <c r="L1244">
        <v>11129.704412311999</v>
      </c>
      <c r="M1244">
        <v>250</v>
      </c>
      <c r="O1244">
        <v>44.515992667985799</v>
      </c>
      <c r="P1244">
        <v>0.22095083706351101</v>
      </c>
      <c r="Q1244">
        <v>1.15737344941902</v>
      </c>
      <c r="R1244">
        <v>0.13932287995221901</v>
      </c>
      <c r="S1244" t="s">
        <v>3118</v>
      </c>
      <c r="T1244" t="s">
        <v>3746</v>
      </c>
      <c r="U1244" t="s">
        <v>3746</v>
      </c>
      <c r="V1244" t="s">
        <v>3746</v>
      </c>
      <c r="W1244" t="s">
        <v>4978</v>
      </c>
      <c r="X1244">
        <v>6</v>
      </c>
      <c r="Y1244" t="s">
        <v>6772</v>
      </c>
      <c r="Z1244" t="s">
        <v>8632</v>
      </c>
      <c r="AA1244">
        <v>1.133656423165915</v>
      </c>
      <c r="AB1244" t="str">
        <f>HYPERLINK("Melting_Curves/meltCurve_P53990_2_IST1.pdf", "Melting_Curves/meltCurve_P53990_2_IST1.pdf")</f>
        <v>Melting_Curves/meltCurve_P53990_2_IST1.pdf</v>
      </c>
    </row>
    <row r="1245" spans="1:28" x14ac:dyDescent="0.25">
      <c r="A1245" t="s">
        <v>1249</v>
      </c>
      <c r="B1245">
        <v>1</v>
      </c>
      <c r="C1245">
        <v>0.97608312095667504</v>
      </c>
      <c r="D1245">
        <v>1.424288201852</v>
      </c>
      <c r="E1245">
        <v>1.9553259453163701</v>
      </c>
      <c r="F1245">
        <v>1.49290219910744</v>
      </c>
      <c r="G1245">
        <v>1.70001268494067</v>
      </c>
      <c r="H1245">
        <v>1.2652651729188</v>
      </c>
      <c r="I1245">
        <v>2.1401801261575</v>
      </c>
      <c r="J1245">
        <v>2.32134414244035</v>
      </c>
      <c r="K1245">
        <v>2.0531153061106799</v>
      </c>
      <c r="L1245">
        <v>11420.719980330499</v>
      </c>
      <c r="M1245">
        <v>250</v>
      </c>
      <c r="O1245">
        <v>45.67995655032</v>
      </c>
      <c r="P1245">
        <v>0.68410748208433203</v>
      </c>
      <c r="Q1245">
        <v>1.5</v>
      </c>
      <c r="R1245">
        <v>0.172558150018149</v>
      </c>
      <c r="S1245" t="s">
        <v>3119</v>
      </c>
      <c r="T1245" t="s">
        <v>3746</v>
      </c>
      <c r="U1245" t="s">
        <v>3746</v>
      </c>
      <c r="V1245" t="s">
        <v>3746</v>
      </c>
      <c r="W1245" t="s">
        <v>4979</v>
      </c>
      <c r="X1245">
        <v>4</v>
      </c>
      <c r="Y1245" t="s">
        <v>6773</v>
      </c>
      <c r="Z1245" t="s">
        <v>8633</v>
      </c>
      <c r="AA1245">
        <v>1.405245248272994</v>
      </c>
      <c r="AB1245" t="str">
        <f>HYPERLINK("Melting_Curves/meltCurve_P54136_2_RARS.pdf", "Melting_Curves/meltCurve_P54136_2_RARS.pdf")</f>
        <v>Melting_Curves/meltCurve_P54136_2_RARS.pdf</v>
      </c>
    </row>
    <row r="1246" spans="1:28" x14ac:dyDescent="0.25">
      <c r="A1246" t="s">
        <v>1250</v>
      </c>
      <c r="B1246">
        <v>1</v>
      </c>
      <c r="C1246">
        <v>0.873834474791649</v>
      </c>
      <c r="D1246">
        <v>1.2362406139120401</v>
      </c>
      <c r="E1246">
        <v>1.4047363643865001</v>
      </c>
      <c r="F1246">
        <v>0.91129631157686297</v>
      </c>
      <c r="G1246">
        <v>0.97466787688753198</v>
      </c>
      <c r="H1246">
        <v>0.62788183843551404</v>
      </c>
      <c r="I1246">
        <v>1.02822015017741</v>
      </c>
      <c r="J1246">
        <v>1.0318508127733299</v>
      </c>
      <c r="K1246">
        <v>0.95560689825893197</v>
      </c>
      <c r="L1246">
        <v>12959.014024051599</v>
      </c>
      <c r="M1246">
        <v>250</v>
      </c>
      <c r="O1246">
        <v>51.832719336911097</v>
      </c>
      <c r="P1246">
        <v>-9.4597140273321695E-2</v>
      </c>
      <c r="Q1246">
        <v>0.92154833790788204</v>
      </c>
      <c r="R1246">
        <v>9.5003635610120304E-2</v>
      </c>
      <c r="S1246" t="s">
        <v>3120</v>
      </c>
      <c r="T1246" t="s">
        <v>3746</v>
      </c>
      <c r="U1246" t="s">
        <v>3746</v>
      </c>
      <c r="V1246" t="s">
        <v>3746</v>
      </c>
      <c r="W1246" t="s">
        <v>4980</v>
      </c>
      <c r="X1246">
        <v>15</v>
      </c>
      <c r="Y1246" t="s">
        <v>6774</v>
      </c>
      <c r="Z1246" t="s">
        <v>8634</v>
      </c>
      <c r="AA1246">
        <v>0.95250741721647125</v>
      </c>
      <c r="AB1246" t="str">
        <f>HYPERLINK("Melting_Curves/meltCurve_P54289_CACNA2D1.pdf", "Melting_Curves/meltCurve_P54289_CACNA2D1.pdf")</f>
        <v>Melting_Curves/meltCurve_P54289_CACNA2D1.pdf</v>
      </c>
    </row>
    <row r="1247" spans="1:28" x14ac:dyDescent="0.25">
      <c r="A1247" t="s">
        <v>1251</v>
      </c>
      <c r="B1247">
        <v>1</v>
      </c>
      <c r="C1247">
        <v>1.0044932486646301</v>
      </c>
      <c r="D1247">
        <v>1.47830173540267</v>
      </c>
      <c r="E1247">
        <v>1.9563283739483299</v>
      </c>
      <c r="F1247">
        <v>1.36601636826299</v>
      </c>
      <c r="G1247">
        <v>1.4229843424038899</v>
      </c>
      <c r="H1247">
        <v>1.15971665023727</v>
      </c>
      <c r="I1247">
        <v>1.7166502372710399</v>
      </c>
      <c r="J1247">
        <v>1.8327640356708901</v>
      </c>
      <c r="K1247">
        <v>1.73845166318975</v>
      </c>
      <c r="L1247">
        <v>5034.7738559346499</v>
      </c>
      <c r="M1247">
        <v>112.552591628904</v>
      </c>
      <c r="O1247">
        <v>44.718517207379399</v>
      </c>
      <c r="P1247">
        <v>0.31461406768531902</v>
      </c>
      <c r="Q1247">
        <v>1.5</v>
      </c>
      <c r="R1247">
        <v>0.46327701611762201</v>
      </c>
      <c r="S1247" t="s">
        <v>3121</v>
      </c>
      <c r="T1247" t="s">
        <v>3746</v>
      </c>
      <c r="U1247" t="s">
        <v>3746</v>
      </c>
      <c r="V1247" t="s">
        <v>3746</v>
      </c>
      <c r="W1247" t="s">
        <v>4981</v>
      </c>
      <c r="X1247">
        <v>10</v>
      </c>
      <c r="Y1247" t="s">
        <v>6775</v>
      </c>
      <c r="Z1247" t="s">
        <v>8635</v>
      </c>
      <c r="AA1247">
        <v>1.420928935226222</v>
      </c>
      <c r="AB1247" t="str">
        <f>HYPERLINK("Melting_Curves/meltCurve_P54577_YARS.pdf", "Melting_Curves/meltCurve_P54577_YARS.pdf")</f>
        <v>Melting_Curves/meltCurve_P54577_YARS.pdf</v>
      </c>
    </row>
    <row r="1248" spans="1:28" x14ac:dyDescent="0.25">
      <c r="A1248" t="s">
        <v>1252</v>
      </c>
      <c r="B1248">
        <v>1</v>
      </c>
      <c r="C1248">
        <v>1.14911297236695</v>
      </c>
      <c r="D1248">
        <v>1.4295983644397501</v>
      </c>
      <c r="E1248">
        <v>1.77557211633582</v>
      </c>
      <c r="F1248">
        <v>1.14957462243619</v>
      </c>
      <c r="G1248">
        <v>1.22310888346633</v>
      </c>
      <c r="H1248">
        <v>0.83519092527863903</v>
      </c>
      <c r="I1248">
        <v>1.17450372617556</v>
      </c>
      <c r="J1248">
        <v>1.2247576337136401</v>
      </c>
      <c r="K1248">
        <v>1.1530699729605001</v>
      </c>
      <c r="L1248">
        <v>1.0000000000000001E-5</v>
      </c>
      <c r="M1248">
        <v>1.0000000000000001E-5</v>
      </c>
      <c r="Q1248">
        <v>1.42289576751948</v>
      </c>
      <c r="R1248">
        <v>-3.5256288999363501E-9</v>
      </c>
      <c r="S1248" t="s">
        <v>3122</v>
      </c>
      <c r="T1248" t="s">
        <v>3746</v>
      </c>
      <c r="U1248" t="s">
        <v>3746</v>
      </c>
      <c r="V1248" t="s">
        <v>3746</v>
      </c>
      <c r="W1248" t="s">
        <v>4982</v>
      </c>
      <c r="X1248">
        <v>9</v>
      </c>
      <c r="Y1248" t="s">
        <v>6776</v>
      </c>
      <c r="Z1248" t="s">
        <v>8636</v>
      </c>
      <c r="AA1248">
        <v>1.211448921277563</v>
      </c>
      <c r="AB1248" t="str">
        <f>HYPERLINK("Melting_Curves/meltCurve_P54727_RAD23B.pdf", "Melting_Curves/meltCurve_P54727_RAD23B.pdf")</f>
        <v>Melting_Curves/meltCurve_P54727_RAD23B.pdf</v>
      </c>
    </row>
    <row r="1249" spans="1:28" x14ac:dyDescent="0.25">
      <c r="A1249" t="s">
        <v>1253</v>
      </c>
      <c r="B1249">
        <v>1</v>
      </c>
      <c r="C1249">
        <v>0.97778222828604</v>
      </c>
      <c r="D1249">
        <v>1.3293111864915901</v>
      </c>
      <c r="E1249">
        <v>1.9864565470453499</v>
      </c>
      <c r="F1249">
        <v>2.1337822783542602</v>
      </c>
      <c r="G1249">
        <v>3.1311411798575599</v>
      </c>
      <c r="H1249">
        <v>2.0563017110813502</v>
      </c>
      <c r="I1249">
        <v>3.1969808864578</v>
      </c>
      <c r="J1249">
        <v>3.0343843486750699</v>
      </c>
      <c r="K1249">
        <v>2.8586449036812702</v>
      </c>
      <c r="S1249" t="s">
        <v>3123</v>
      </c>
      <c r="T1249" t="s">
        <v>3746</v>
      </c>
      <c r="U1249" t="s">
        <v>3747</v>
      </c>
      <c r="V1249" t="s">
        <v>3746</v>
      </c>
      <c r="W1249" t="s">
        <v>4983</v>
      </c>
      <c r="X1249">
        <v>17</v>
      </c>
      <c r="Y1249" t="s">
        <v>6777</v>
      </c>
      <c r="Z1249" t="s">
        <v>8637</v>
      </c>
      <c r="AB1249" t="str">
        <f>HYPERLINK("Melting_Curves/meltCurve_P54802_NAGLU.pdf", "Melting_Curves/meltCurve_P54802_NAGLU.pdf")</f>
        <v>Melting_Curves/meltCurve_P54802_NAGLU.pdf</v>
      </c>
    </row>
    <row r="1250" spans="1:28" x14ac:dyDescent="0.25">
      <c r="A1250" t="s">
        <v>1254</v>
      </c>
      <c r="B1250">
        <v>1</v>
      </c>
      <c r="C1250">
        <v>1.14898177920686</v>
      </c>
      <c r="D1250">
        <v>1.32538406573776</v>
      </c>
      <c r="E1250">
        <v>1.8585209003215399</v>
      </c>
      <c r="F1250">
        <v>1.3177027509824899</v>
      </c>
      <c r="G1250">
        <v>0.96820292961772103</v>
      </c>
      <c r="H1250">
        <v>0.60656484458735305</v>
      </c>
      <c r="I1250">
        <v>1.1018220793140401</v>
      </c>
      <c r="J1250">
        <v>1.3177920685959299</v>
      </c>
      <c r="K1250">
        <v>1.12048946052161</v>
      </c>
      <c r="L1250">
        <v>1.0000000000000001E-5</v>
      </c>
      <c r="M1250">
        <v>1.0000000000000001E-5</v>
      </c>
      <c r="Q1250">
        <v>1.3530904417707801</v>
      </c>
      <c r="R1250">
        <v>-3.06094749547015E-9</v>
      </c>
      <c r="S1250" t="s">
        <v>3124</v>
      </c>
      <c r="T1250" t="s">
        <v>3746</v>
      </c>
      <c r="U1250" t="s">
        <v>3746</v>
      </c>
      <c r="V1250" t="s">
        <v>3746</v>
      </c>
      <c r="W1250" t="s">
        <v>4984</v>
      </c>
      <c r="X1250">
        <v>1</v>
      </c>
      <c r="Y1250" t="s">
        <v>6778</v>
      </c>
      <c r="Z1250" t="s">
        <v>8638</v>
      </c>
      <c r="AA1250">
        <v>1.176546087145246</v>
      </c>
      <c r="AB1250" t="str">
        <f>HYPERLINK("Melting_Curves/meltCurve_P55001_3_MFAP2.pdf", "Melting_Curves/meltCurve_P55001_3_MFAP2.pdf")</f>
        <v>Melting_Curves/meltCurve_P55001_3_MFAP2.pdf</v>
      </c>
    </row>
    <row r="1251" spans="1:28" x14ac:dyDescent="0.25">
      <c r="A1251" t="s">
        <v>1255</v>
      </c>
      <c r="B1251">
        <v>1</v>
      </c>
      <c r="C1251">
        <v>1.0471155629753299</v>
      </c>
      <c r="D1251">
        <v>1.4419402708217399</v>
      </c>
      <c r="E1251">
        <v>2.1030421072157299</v>
      </c>
      <c r="F1251">
        <v>2.08523465034316</v>
      </c>
      <c r="G1251">
        <v>2.55583379706919</v>
      </c>
      <c r="H1251">
        <v>1.8338898163605999</v>
      </c>
      <c r="I1251">
        <v>2.8245223520682599</v>
      </c>
      <c r="J1251">
        <v>2.9299758857354901</v>
      </c>
      <c r="K1251">
        <v>2.7155444258950099</v>
      </c>
      <c r="L1251">
        <v>2954.3065320119199</v>
      </c>
      <c r="M1251">
        <v>66.455438947997393</v>
      </c>
      <c r="O1251">
        <v>44.415247402106303</v>
      </c>
      <c r="P1251">
        <v>0.187028838728482</v>
      </c>
      <c r="Q1251">
        <v>1.5</v>
      </c>
      <c r="R1251">
        <v>-0.56674582401986895</v>
      </c>
      <c r="S1251" t="s">
        <v>3125</v>
      </c>
      <c r="T1251" t="s">
        <v>3746</v>
      </c>
      <c r="U1251" t="s">
        <v>3746</v>
      </c>
      <c r="V1251" t="s">
        <v>3746</v>
      </c>
      <c r="W1251" t="s">
        <v>4985</v>
      </c>
      <c r="X1251">
        <v>14</v>
      </c>
      <c r="Y1251" t="s">
        <v>6779</v>
      </c>
      <c r="Z1251" t="s">
        <v>8639</v>
      </c>
      <c r="AA1251">
        <v>1.425183439236801</v>
      </c>
      <c r="AB1251" t="str">
        <f>HYPERLINK("Melting_Curves/meltCurve_P55072_VCP.pdf", "Melting_Curves/meltCurve_P55072_VCP.pdf")</f>
        <v>Melting_Curves/meltCurve_P55072_VCP.pdf</v>
      </c>
    </row>
    <row r="1252" spans="1:28" x14ac:dyDescent="0.25">
      <c r="A1252" t="s">
        <v>1256</v>
      </c>
      <c r="B1252">
        <v>1</v>
      </c>
      <c r="C1252">
        <v>0.81179775280898903</v>
      </c>
      <c r="D1252">
        <v>1.07644194756554</v>
      </c>
      <c r="E1252">
        <v>0.994269662921348</v>
      </c>
      <c r="F1252">
        <v>1.02198501872659</v>
      </c>
      <c r="G1252">
        <v>0.94292134831460706</v>
      </c>
      <c r="H1252">
        <v>0.67539325842696596</v>
      </c>
      <c r="I1252">
        <v>1.0494756554307101</v>
      </c>
      <c r="J1252">
        <v>0.98460674157303396</v>
      </c>
      <c r="K1252">
        <v>0.76269662921348302</v>
      </c>
      <c r="L1252">
        <v>14265.471585609999</v>
      </c>
      <c r="M1252">
        <v>250</v>
      </c>
      <c r="O1252">
        <v>57.058233378929899</v>
      </c>
      <c r="P1252">
        <v>-0.14454193165811</v>
      </c>
      <c r="Q1252">
        <v>0.86804308064559099</v>
      </c>
      <c r="R1252">
        <v>0.16315764749887299</v>
      </c>
      <c r="S1252" t="s">
        <v>3126</v>
      </c>
      <c r="T1252" t="s">
        <v>3746</v>
      </c>
      <c r="U1252" t="s">
        <v>3746</v>
      </c>
      <c r="V1252" t="s">
        <v>3746</v>
      </c>
      <c r="W1252" t="s">
        <v>4986</v>
      </c>
      <c r="X1252">
        <v>2</v>
      </c>
      <c r="Y1252" t="s">
        <v>6780</v>
      </c>
      <c r="Z1252" t="s">
        <v>8640</v>
      </c>
      <c r="AA1252">
        <v>0.94310409384152305</v>
      </c>
      <c r="AB1252" t="str">
        <f>HYPERLINK("Melting_Curves/meltCurve_P55145_MANF.pdf", "Melting_Curves/meltCurve_P55145_MANF.pdf")</f>
        <v>Melting_Curves/meltCurve_P55145_MANF.pdf</v>
      </c>
    </row>
    <row r="1253" spans="1:28" x14ac:dyDescent="0.25">
      <c r="A1253" t="s">
        <v>1257</v>
      </c>
      <c r="B1253">
        <v>1</v>
      </c>
      <c r="C1253">
        <v>0.89208224848120699</v>
      </c>
      <c r="D1253">
        <v>1.1253421456706101</v>
      </c>
      <c r="E1253">
        <v>1.41588223512918</v>
      </c>
      <c r="F1253">
        <v>1.0732358635422901</v>
      </c>
      <c r="G1253">
        <v>1.1078843714533699</v>
      </c>
      <c r="H1253">
        <v>0.91551505440950698</v>
      </c>
      <c r="I1253">
        <v>1.35793444155151</v>
      </c>
      <c r="J1253">
        <v>1.22725148541291</v>
      </c>
      <c r="K1253">
        <v>1.18869750984712</v>
      </c>
      <c r="L1253">
        <v>11464.891548125701</v>
      </c>
      <c r="M1253">
        <v>250</v>
      </c>
      <c r="O1253">
        <v>45.856631684171198</v>
      </c>
      <c r="P1253">
        <v>0.250470271107125</v>
      </c>
      <c r="Q1253">
        <v>1.1837715665041399</v>
      </c>
      <c r="R1253">
        <v>0.30433859865443602</v>
      </c>
      <c r="S1253" t="s">
        <v>3127</v>
      </c>
      <c r="T1253" t="s">
        <v>3746</v>
      </c>
      <c r="U1253" t="s">
        <v>3746</v>
      </c>
      <c r="V1253" t="s">
        <v>3746</v>
      </c>
      <c r="W1253" t="s">
        <v>4987</v>
      </c>
      <c r="X1253">
        <v>2</v>
      </c>
      <c r="Y1253" t="s">
        <v>6781</v>
      </c>
      <c r="Z1253" t="s">
        <v>8641</v>
      </c>
      <c r="AA1253">
        <v>1.1478627207749601</v>
      </c>
      <c r="AB1253" t="str">
        <f>HYPERLINK("Melting_Curves/meltCurve_P55210_4_CASP7.pdf", "Melting_Curves/meltCurve_P55210_4_CASP7.pdf")</f>
        <v>Melting_Curves/meltCurve_P55210_4_CASP7.pdf</v>
      </c>
    </row>
    <row r="1254" spans="1:28" x14ac:dyDescent="0.25">
      <c r="A1254" t="s">
        <v>1258</v>
      </c>
      <c r="B1254">
        <v>1</v>
      </c>
      <c r="C1254">
        <v>1.1072924735602401</v>
      </c>
      <c r="D1254">
        <v>1.5868599522582501</v>
      </c>
      <c r="E1254">
        <v>2.1829995099356601</v>
      </c>
      <c r="F1254">
        <v>1.5149153453372799</v>
      </c>
      <c r="G1254">
        <v>2.0385095720631701</v>
      </c>
      <c r="H1254">
        <v>1.0097064356513901</v>
      </c>
      <c r="I1254">
        <v>1.8058080528637099</v>
      </c>
      <c r="J1254">
        <v>1.64187362663421</v>
      </c>
      <c r="K1254">
        <v>1.66795769638143</v>
      </c>
      <c r="L1254">
        <v>10780.6630031077</v>
      </c>
      <c r="M1254">
        <v>250</v>
      </c>
      <c r="O1254">
        <v>43.119892452500203</v>
      </c>
      <c r="P1254">
        <v>0.72472351534241997</v>
      </c>
      <c r="Q1254">
        <v>1.5</v>
      </c>
      <c r="R1254">
        <v>0.24563271339770401</v>
      </c>
      <c r="S1254" t="s">
        <v>3128</v>
      </c>
      <c r="T1254" t="s">
        <v>3746</v>
      </c>
      <c r="U1254" t="s">
        <v>3746</v>
      </c>
      <c r="V1254" t="s">
        <v>3746</v>
      </c>
      <c r="W1254" t="s">
        <v>4988</v>
      </c>
      <c r="X1254">
        <v>4</v>
      </c>
      <c r="Y1254" t="s">
        <v>6782</v>
      </c>
      <c r="Z1254" t="s">
        <v>8642</v>
      </c>
      <c r="AA1254">
        <v>1.447917959993041</v>
      </c>
      <c r="AB1254" t="str">
        <f>HYPERLINK("Melting_Curves/meltCurve_P55212_CASP6.pdf", "Melting_Curves/meltCurve_P55212_CASP6.pdf")</f>
        <v>Melting_Curves/meltCurve_P55212_CASP6.pdf</v>
      </c>
    </row>
    <row r="1255" spans="1:28" x14ac:dyDescent="0.25">
      <c r="A1255" t="s">
        <v>1259</v>
      </c>
      <c r="B1255">
        <v>1</v>
      </c>
      <c r="C1255">
        <v>1.1051514390706001</v>
      </c>
      <c r="D1255">
        <v>1.56442151872732</v>
      </c>
      <c r="E1255">
        <v>1.9549220550977999</v>
      </c>
      <c r="F1255">
        <v>1.5805811060644099</v>
      </c>
      <c r="G1255">
        <v>2.0792458859242702</v>
      </c>
      <c r="H1255">
        <v>1.4668933878072701</v>
      </c>
      <c r="I1255">
        <v>2.09232419601488</v>
      </c>
      <c r="J1255">
        <v>2.11247803163445</v>
      </c>
      <c r="K1255">
        <v>1.8834592472553799</v>
      </c>
      <c r="L1255">
        <v>10781.760989660501</v>
      </c>
      <c r="M1255">
        <v>250</v>
      </c>
      <c r="O1255">
        <v>43.124284109346199</v>
      </c>
      <c r="P1255">
        <v>0.72464971138079304</v>
      </c>
      <c r="Q1255">
        <v>1.5</v>
      </c>
      <c r="R1255">
        <v>4.5182610779978198E-2</v>
      </c>
      <c r="S1255" t="s">
        <v>3129</v>
      </c>
      <c r="T1255" t="s">
        <v>3746</v>
      </c>
      <c r="U1255" t="s">
        <v>3746</v>
      </c>
      <c r="V1255" t="s">
        <v>3746</v>
      </c>
      <c r="W1255" t="s">
        <v>4989</v>
      </c>
      <c r="X1255">
        <v>19</v>
      </c>
      <c r="Y1255" t="s">
        <v>6783</v>
      </c>
      <c r="Z1255" t="s">
        <v>8643</v>
      </c>
      <c r="AA1255">
        <v>1.447844757035845</v>
      </c>
      <c r="AB1255" t="str">
        <f>HYPERLINK("Melting_Curves/meltCurve_P55268_LAMB2.pdf", "Melting_Curves/meltCurve_P55268_LAMB2.pdf")</f>
        <v>Melting_Curves/meltCurve_P55268_LAMB2.pdf</v>
      </c>
    </row>
    <row r="1256" spans="1:28" x14ac:dyDescent="0.25">
      <c r="A1256" t="s">
        <v>1260</v>
      </c>
      <c r="B1256">
        <v>1</v>
      </c>
      <c r="C1256">
        <v>0.97790372843067097</v>
      </c>
      <c r="D1256">
        <v>1.32315418982018</v>
      </c>
      <c r="E1256">
        <v>1.50902104742983</v>
      </c>
      <c r="F1256">
        <v>1.1170164486622201</v>
      </c>
      <c r="G1256">
        <v>1.2831166735580899</v>
      </c>
      <c r="H1256">
        <v>0.72690783303246398</v>
      </c>
      <c r="I1256">
        <v>1.21322750789153</v>
      </c>
      <c r="J1256">
        <v>1.0260495981120801</v>
      </c>
      <c r="K1256">
        <v>1.0067468761660801</v>
      </c>
      <c r="L1256">
        <v>1.0000000000000001E-5</v>
      </c>
      <c r="M1256">
        <v>1.0000000000000001E-5</v>
      </c>
      <c r="Q1256">
        <v>1.23662761684758</v>
      </c>
      <c r="R1256">
        <v>-2.6937614361344202E-9</v>
      </c>
      <c r="S1256" t="s">
        <v>3130</v>
      </c>
      <c r="T1256" t="s">
        <v>3746</v>
      </c>
      <c r="U1256" t="s">
        <v>3746</v>
      </c>
      <c r="V1256" t="s">
        <v>3746</v>
      </c>
      <c r="W1256" t="s">
        <v>4990</v>
      </c>
      <c r="X1256">
        <v>3</v>
      </c>
      <c r="Y1256" t="s">
        <v>6784</v>
      </c>
      <c r="Z1256" t="s">
        <v>8644</v>
      </c>
      <c r="AA1256">
        <v>1.118314388957786</v>
      </c>
      <c r="AB1256" t="str">
        <f>HYPERLINK("Melting_Curves/meltCurve_P55290_3_CDH13.pdf", "Melting_Curves/meltCurve_P55290_3_CDH13.pdf")</f>
        <v>Melting_Curves/meltCurve_P55290_3_CDH13.pdf</v>
      </c>
    </row>
    <row r="1257" spans="1:28" x14ac:dyDescent="0.25">
      <c r="A1257" t="s">
        <v>1261</v>
      </c>
      <c r="B1257">
        <v>1</v>
      </c>
      <c r="C1257">
        <v>1.0052024717049199</v>
      </c>
      <c r="D1257">
        <v>1.4939799970271599</v>
      </c>
      <c r="E1257">
        <v>2.0077930902681902</v>
      </c>
      <c r="F1257">
        <v>1.4476249124073599</v>
      </c>
      <c r="G1257">
        <v>1.8541609156350201</v>
      </c>
      <c r="H1257">
        <v>1.1310598178073199</v>
      </c>
      <c r="I1257">
        <v>2.2083961522943998</v>
      </c>
      <c r="J1257">
        <v>2.0170088972883402</v>
      </c>
      <c r="K1257">
        <v>2.1703862569808701</v>
      </c>
      <c r="L1257">
        <v>5714.9291901521301</v>
      </c>
      <c r="M1257">
        <v>128.65391207073301</v>
      </c>
      <c r="O1257">
        <v>44.410222964279498</v>
      </c>
      <c r="P1257">
        <v>0.36211797683663699</v>
      </c>
      <c r="Q1257">
        <v>1.5</v>
      </c>
      <c r="R1257">
        <v>0.15384049895006199</v>
      </c>
      <c r="S1257" t="s">
        <v>3131</v>
      </c>
      <c r="T1257" t="s">
        <v>3746</v>
      </c>
      <c r="U1257" t="s">
        <v>3746</v>
      </c>
      <c r="V1257" t="s">
        <v>3746</v>
      </c>
      <c r="W1257" t="s">
        <v>4991</v>
      </c>
      <c r="X1257">
        <v>4</v>
      </c>
      <c r="Y1257" t="s">
        <v>6785</v>
      </c>
      <c r="Z1257" t="s">
        <v>8645</v>
      </c>
      <c r="AA1257">
        <v>1.4261701956270609</v>
      </c>
      <c r="AB1257" t="str">
        <f>HYPERLINK("Melting_Curves/meltCurve_P55884_EIF3B.pdf", "Melting_Curves/meltCurve_P55884_EIF3B.pdf")</f>
        <v>Melting_Curves/meltCurve_P55884_EIF3B.pdf</v>
      </c>
    </row>
    <row r="1258" spans="1:28" x14ac:dyDescent="0.25">
      <c r="A1258" t="s">
        <v>1262</v>
      </c>
      <c r="B1258">
        <v>1</v>
      </c>
      <c r="C1258">
        <v>1.4702090629767299</v>
      </c>
      <c r="D1258">
        <v>1.9643969833050401</v>
      </c>
      <c r="E1258">
        <v>2.2738015942932002</v>
      </c>
      <c r="F1258">
        <v>1.2707075481833201</v>
      </c>
      <c r="G1258">
        <v>0.91278657527771201</v>
      </c>
      <c r="H1258">
        <v>1.2394447906147299</v>
      </c>
      <c r="I1258">
        <v>1.1642422809995501</v>
      </c>
      <c r="J1258">
        <v>1.3889903525923399</v>
      </c>
      <c r="K1258">
        <v>1.23461034356804</v>
      </c>
      <c r="L1258">
        <v>10265.903718801301</v>
      </c>
      <c r="M1258">
        <v>250</v>
      </c>
      <c r="O1258">
        <v>41.0609863444962</v>
      </c>
      <c r="P1258">
        <v>0.66283480991843702</v>
      </c>
      <c r="Q1258">
        <v>1.4354664245114801</v>
      </c>
      <c r="R1258">
        <v>0.106051429771278</v>
      </c>
      <c r="S1258" t="s">
        <v>3132</v>
      </c>
      <c r="T1258" t="s">
        <v>3746</v>
      </c>
      <c r="U1258" t="s">
        <v>3746</v>
      </c>
      <c r="V1258" t="s">
        <v>3746</v>
      </c>
      <c r="W1258" t="s">
        <v>4992</v>
      </c>
      <c r="X1258">
        <v>1</v>
      </c>
      <c r="Y1258" t="s">
        <v>6786</v>
      </c>
      <c r="Z1258" t="s">
        <v>8646</v>
      </c>
      <c r="AA1258">
        <v>1.4199931798980849</v>
      </c>
      <c r="AB1258" t="str">
        <f>HYPERLINK("Melting_Curves/meltCurve_P55957_BID.pdf", "Melting_Curves/meltCurve_P55957_BID.pdf")</f>
        <v>Melting_Curves/meltCurve_P55957_BID.pdf</v>
      </c>
    </row>
    <row r="1259" spans="1:28" x14ac:dyDescent="0.25">
      <c r="A1259" t="s">
        <v>1263</v>
      </c>
      <c r="B1259">
        <v>1</v>
      </c>
      <c r="C1259">
        <v>1.21537932220884</v>
      </c>
      <c r="D1259">
        <v>1.28281438155858</v>
      </c>
      <c r="E1259">
        <v>1.8273983599977099</v>
      </c>
      <c r="F1259">
        <v>1.22025345489994</v>
      </c>
      <c r="G1259">
        <v>1.5046734331097</v>
      </c>
      <c r="H1259">
        <v>1.23774298985034</v>
      </c>
      <c r="I1259">
        <v>1.49739090544183</v>
      </c>
      <c r="J1259">
        <v>1.2560353231263299</v>
      </c>
      <c r="K1259">
        <v>1.1832673891851599</v>
      </c>
      <c r="L1259">
        <v>1700.91859422025</v>
      </c>
      <c r="M1259">
        <v>39.743356160624103</v>
      </c>
      <c r="O1259">
        <v>42.689621547893303</v>
      </c>
      <c r="P1259">
        <v>8.8551946653365202E-2</v>
      </c>
      <c r="Q1259">
        <v>1.38046531030833</v>
      </c>
      <c r="R1259">
        <v>0.29439258147654102</v>
      </c>
      <c r="S1259" t="s">
        <v>3133</v>
      </c>
      <c r="T1259" t="s">
        <v>3746</v>
      </c>
      <c r="U1259" t="s">
        <v>3746</v>
      </c>
      <c r="V1259" t="s">
        <v>3746</v>
      </c>
      <c r="W1259" t="s">
        <v>4993</v>
      </c>
      <c r="X1259">
        <v>2</v>
      </c>
      <c r="Y1259" t="s">
        <v>6787</v>
      </c>
      <c r="Z1259" t="s">
        <v>8647</v>
      </c>
      <c r="AA1259">
        <v>1.3431593616235959</v>
      </c>
      <c r="AB1259" t="str">
        <f>HYPERLINK("Melting_Curves/meltCurve_P56537_EIF6.pdf", "Melting_Curves/meltCurve_P56537_EIF6.pdf")</f>
        <v>Melting_Curves/meltCurve_P56537_EIF6.pdf</v>
      </c>
    </row>
    <row r="1260" spans="1:28" x14ac:dyDescent="0.25">
      <c r="A1260" t="s">
        <v>1264</v>
      </c>
      <c r="B1260">
        <v>1</v>
      </c>
      <c r="C1260">
        <v>0.97017870847494803</v>
      </c>
      <c r="D1260">
        <v>1.51021452326134</v>
      </c>
      <c r="E1260">
        <v>1.7921280561341999</v>
      </c>
      <c r="F1260">
        <v>1.2983956437525099</v>
      </c>
      <c r="G1260">
        <v>1.6089975514380701</v>
      </c>
      <c r="H1260">
        <v>1.1843730585096699</v>
      </c>
      <c r="I1260">
        <v>1.8044439571684401</v>
      </c>
      <c r="J1260">
        <v>1.92354639476666</v>
      </c>
      <c r="K1260">
        <v>1.7805065234075199</v>
      </c>
      <c r="L1260">
        <v>11124.0453143131</v>
      </c>
      <c r="M1260">
        <v>250</v>
      </c>
      <c r="O1260">
        <v>44.493333973311998</v>
      </c>
      <c r="P1260">
        <v>0.70235240585361502</v>
      </c>
      <c r="Q1260">
        <v>1.5</v>
      </c>
      <c r="R1260">
        <v>0.47268425955955501</v>
      </c>
      <c r="S1260" t="s">
        <v>3134</v>
      </c>
      <c r="T1260" t="s">
        <v>3746</v>
      </c>
      <c r="U1260" t="s">
        <v>3746</v>
      </c>
      <c r="V1260" t="s">
        <v>3746</v>
      </c>
      <c r="W1260" t="s">
        <v>4994</v>
      </c>
      <c r="X1260">
        <v>4</v>
      </c>
      <c r="Y1260" t="s">
        <v>6788</v>
      </c>
      <c r="Z1260" t="s">
        <v>8648</v>
      </c>
      <c r="AA1260">
        <v>1.4250246006596621</v>
      </c>
      <c r="AB1260" t="str">
        <f>HYPERLINK("Melting_Curves/meltCurve_P57735_RAB25.pdf", "Melting_Curves/meltCurve_P57735_RAB25.pdf")</f>
        <v>Melting_Curves/meltCurve_P57735_RAB25.pdf</v>
      </c>
    </row>
    <row r="1261" spans="1:28" x14ac:dyDescent="0.25">
      <c r="A1261" t="s">
        <v>1265</v>
      </c>
      <c r="B1261">
        <v>1</v>
      </c>
      <c r="C1261">
        <v>0.98147830560795701</v>
      </c>
      <c r="D1261">
        <v>1.23483107528726</v>
      </c>
      <c r="E1261">
        <v>1.6228605728005501</v>
      </c>
      <c r="F1261">
        <v>1.24911678957297</v>
      </c>
      <c r="G1261">
        <v>1.56355685131195</v>
      </c>
      <c r="H1261">
        <v>1.1488080946664401</v>
      </c>
      <c r="I1261">
        <v>1.5617218315897801</v>
      </c>
      <c r="J1261">
        <v>1.66211627508146</v>
      </c>
      <c r="K1261">
        <v>1.5208540559080801</v>
      </c>
      <c r="L1261">
        <v>11501.144158389299</v>
      </c>
      <c r="M1261">
        <v>250</v>
      </c>
      <c r="O1261">
        <v>46.001632620854103</v>
      </c>
      <c r="P1261">
        <v>0.64614059097903398</v>
      </c>
      <c r="Q1261">
        <v>1.47557635310263</v>
      </c>
      <c r="R1261">
        <v>0.62167866283829598</v>
      </c>
      <c r="S1261" t="s">
        <v>3135</v>
      </c>
      <c r="T1261" t="s">
        <v>3746</v>
      </c>
      <c r="U1261" t="s">
        <v>3746</v>
      </c>
      <c r="V1261" t="s">
        <v>3746</v>
      </c>
      <c r="W1261" t="s">
        <v>4995</v>
      </c>
      <c r="X1261">
        <v>4</v>
      </c>
      <c r="Y1261" t="s">
        <v>6789</v>
      </c>
      <c r="Z1261" t="s">
        <v>8649</v>
      </c>
      <c r="AA1261">
        <v>1.3803501344339131</v>
      </c>
      <c r="AB1261" t="str">
        <f>HYPERLINK("Melting_Curves/meltCurve_P58107_EPPK1.pdf", "Melting_Curves/meltCurve_P58107_EPPK1.pdf")</f>
        <v>Melting_Curves/meltCurve_P58107_EPPK1.pdf</v>
      </c>
    </row>
    <row r="1262" spans="1:28" x14ac:dyDescent="0.25">
      <c r="A1262" t="s">
        <v>1266</v>
      </c>
      <c r="B1262">
        <v>1</v>
      </c>
      <c r="C1262">
        <v>1.05651366410188</v>
      </c>
      <c r="D1262">
        <v>2.27991509684266</v>
      </c>
      <c r="E1262">
        <v>2.6432298576103301</v>
      </c>
      <c r="F1262">
        <v>2.1872291500840202</v>
      </c>
      <c r="G1262">
        <v>2.7031927124789998</v>
      </c>
      <c r="H1262">
        <v>1.14583886088264</v>
      </c>
      <c r="I1262">
        <v>2.1346068806933798</v>
      </c>
      <c r="J1262">
        <v>2.0345803484567102</v>
      </c>
      <c r="K1262">
        <v>1.9960201644998701</v>
      </c>
      <c r="L1262">
        <v>10813.379872490899</v>
      </c>
      <c r="M1262">
        <v>250</v>
      </c>
      <c r="O1262">
        <v>43.250750158966</v>
      </c>
      <c r="P1262">
        <v>0.72253079807935305</v>
      </c>
      <c r="Q1262">
        <v>1.5</v>
      </c>
      <c r="R1262">
        <v>-0.36216571289970401</v>
      </c>
      <c r="S1262" t="s">
        <v>3136</v>
      </c>
      <c r="T1262" t="s">
        <v>3746</v>
      </c>
      <c r="U1262" t="s">
        <v>3746</v>
      </c>
      <c r="V1262" t="s">
        <v>3746</v>
      </c>
      <c r="W1262" t="s">
        <v>4996</v>
      </c>
      <c r="X1262">
        <v>2</v>
      </c>
      <c r="Y1262" t="s">
        <v>6790</v>
      </c>
      <c r="Z1262" t="s">
        <v>8650</v>
      </c>
      <c r="AA1262">
        <v>1.4457367205368969</v>
      </c>
      <c r="AB1262" t="str">
        <f>HYPERLINK("Melting_Curves/meltCurve_P58546_MTPN.pdf", "Melting_Curves/meltCurve_P58546_MTPN.pdf")</f>
        <v>Melting_Curves/meltCurve_P58546_MTPN.pdf</v>
      </c>
    </row>
    <row r="1263" spans="1:28" x14ac:dyDescent="0.25">
      <c r="A1263" t="s">
        <v>1267</v>
      </c>
      <c r="B1263">
        <v>1</v>
      </c>
      <c r="C1263">
        <v>0.81359984878555902</v>
      </c>
      <c r="D1263">
        <v>1.15291560344013</v>
      </c>
      <c r="E1263">
        <v>1.5198941498913101</v>
      </c>
      <c r="F1263">
        <v>0.83568660807107098</v>
      </c>
      <c r="G1263">
        <v>1.1465834987241299</v>
      </c>
      <c r="H1263">
        <v>0.224572346659106</v>
      </c>
      <c r="I1263">
        <v>1.00453643322937</v>
      </c>
      <c r="J1263">
        <v>0.94164067668462303</v>
      </c>
      <c r="K1263">
        <v>0.84942822039504795</v>
      </c>
      <c r="L1263">
        <v>3793.71102068656</v>
      </c>
      <c r="M1263">
        <v>65.033180742321306</v>
      </c>
      <c r="O1263">
        <v>58.279925382284603</v>
      </c>
      <c r="P1263">
        <v>-6.45043789240453E-2</v>
      </c>
      <c r="Q1263">
        <v>0.76877594103901803</v>
      </c>
      <c r="R1263">
        <v>0.18985796752722001</v>
      </c>
      <c r="S1263" t="s">
        <v>3137</v>
      </c>
      <c r="T1263" t="s">
        <v>3746</v>
      </c>
      <c r="U1263" t="s">
        <v>3746</v>
      </c>
      <c r="V1263" t="s">
        <v>3746</v>
      </c>
      <c r="W1263" t="s">
        <v>4997</v>
      </c>
      <c r="X1263">
        <v>1</v>
      </c>
      <c r="Y1263" t="s">
        <v>6791</v>
      </c>
      <c r="Z1263" t="s">
        <v>8651</v>
      </c>
      <c r="AA1263">
        <v>0.91044311971477077</v>
      </c>
      <c r="AB1263" t="str">
        <f>HYPERLINK("Melting_Curves/meltCurve_P60022_DEFB1.pdf", "Melting_Curves/meltCurve_P60022_DEFB1.pdf")</f>
        <v>Melting_Curves/meltCurve_P60022_DEFB1.pdf</v>
      </c>
    </row>
    <row r="1264" spans="1:28" x14ac:dyDescent="0.25">
      <c r="A1264" t="s">
        <v>1268</v>
      </c>
      <c r="B1264">
        <v>1</v>
      </c>
      <c r="C1264">
        <v>1.15648763307452</v>
      </c>
      <c r="D1264">
        <v>2.5843272232450198</v>
      </c>
      <c r="E1264">
        <v>3.9234771472024299</v>
      </c>
      <c r="F1264">
        <v>2.87040742815977</v>
      </c>
      <c r="G1264">
        <v>3.4418474345633601</v>
      </c>
      <c r="H1264">
        <v>1.90066437204835</v>
      </c>
      <c r="I1264">
        <v>3.1019771071800202</v>
      </c>
      <c r="J1264">
        <v>2.9783078523973399</v>
      </c>
      <c r="K1264">
        <v>2.8157368126150599</v>
      </c>
      <c r="L1264">
        <v>10758.729770489599</v>
      </c>
      <c r="M1264">
        <v>250</v>
      </c>
      <c r="O1264">
        <v>43.032158214875402</v>
      </c>
      <c r="P1264">
        <v>0.72620096915175203</v>
      </c>
      <c r="Q1264">
        <v>1.5</v>
      </c>
      <c r="R1264">
        <v>-1.38693183037524</v>
      </c>
      <c r="S1264" t="s">
        <v>3138</v>
      </c>
      <c r="T1264" t="s">
        <v>3746</v>
      </c>
      <c r="U1264" t="s">
        <v>3746</v>
      </c>
      <c r="V1264" t="s">
        <v>3746</v>
      </c>
      <c r="W1264" t="s">
        <v>4998</v>
      </c>
      <c r="X1264">
        <v>15</v>
      </c>
      <c r="Y1264" t="s">
        <v>6792</v>
      </c>
      <c r="Z1264" t="s">
        <v>8652</v>
      </c>
      <c r="AA1264">
        <v>1.4493802524798549</v>
      </c>
      <c r="AB1264" t="str">
        <f>HYPERLINK("Melting_Curves/meltCurve_P60174_1_TPI1.pdf", "Melting_Curves/meltCurve_P60174_1_TPI1.pdf")</f>
        <v>Melting_Curves/meltCurve_P60174_1_TPI1.pdf</v>
      </c>
    </row>
    <row r="1265" spans="1:28" x14ac:dyDescent="0.25">
      <c r="A1265" t="s">
        <v>1269</v>
      </c>
      <c r="B1265">
        <v>1</v>
      </c>
      <c r="C1265">
        <v>0.95454873559346498</v>
      </c>
      <c r="D1265">
        <v>1.4639926854503</v>
      </c>
      <c r="E1265">
        <v>1.9144149563292501</v>
      </c>
      <c r="F1265">
        <v>1.2773994850942001</v>
      </c>
      <c r="G1265">
        <v>1.58345564351195</v>
      </c>
      <c r="H1265">
        <v>1.0121147229373699</v>
      </c>
      <c r="I1265">
        <v>1.85474362984529</v>
      </c>
      <c r="J1265">
        <v>1.78376362455186</v>
      </c>
      <c r="K1265">
        <v>1.7054450085416599</v>
      </c>
      <c r="L1265">
        <v>11382.417472322601</v>
      </c>
      <c r="M1265">
        <v>250</v>
      </c>
      <c r="O1265">
        <v>45.526751653477596</v>
      </c>
      <c r="P1265">
        <v>0.68640954411132404</v>
      </c>
      <c r="Q1265">
        <v>1.5</v>
      </c>
      <c r="R1265">
        <v>0.42342080316539499</v>
      </c>
      <c r="S1265" t="s">
        <v>3139</v>
      </c>
      <c r="T1265" t="s">
        <v>3746</v>
      </c>
      <c r="U1265" t="s">
        <v>3746</v>
      </c>
      <c r="V1265" t="s">
        <v>3746</v>
      </c>
      <c r="W1265" t="s">
        <v>4999</v>
      </c>
      <c r="X1265">
        <v>10</v>
      </c>
      <c r="Y1265" t="s">
        <v>6793</v>
      </c>
      <c r="Z1265" t="s">
        <v>8653</v>
      </c>
      <c r="AA1265">
        <v>1.407798883247467</v>
      </c>
      <c r="AB1265" t="str">
        <f>HYPERLINK("Melting_Curves/meltCurve_P60842_EIF4A1.pdf", "Melting_Curves/meltCurve_P60842_EIF4A1.pdf")</f>
        <v>Melting_Curves/meltCurve_P60842_EIF4A1.pdf</v>
      </c>
    </row>
    <row r="1266" spans="1:28" x14ac:dyDescent="0.25">
      <c r="A1266" t="s">
        <v>1270</v>
      </c>
      <c r="B1266">
        <v>1</v>
      </c>
      <c r="C1266">
        <v>1.04527582509234</v>
      </c>
      <c r="D1266">
        <v>1.37400214464435</v>
      </c>
      <c r="E1266">
        <v>1.6071726438698899</v>
      </c>
      <c r="F1266">
        <v>1.1108066245680901</v>
      </c>
      <c r="G1266">
        <v>1.54062909567497</v>
      </c>
      <c r="H1266">
        <v>0.90462290003574397</v>
      </c>
      <c r="I1266">
        <v>1.39735493863934</v>
      </c>
      <c r="J1266">
        <v>1.2302513999761699</v>
      </c>
      <c r="K1266">
        <v>1.06934350053616</v>
      </c>
      <c r="L1266">
        <v>10795.464605568901</v>
      </c>
      <c r="M1266">
        <v>250</v>
      </c>
      <c r="O1266">
        <v>43.179114376205</v>
      </c>
      <c r="P1266">
        <v>0.40423627918624899</v>
      </c>
      <c r="Q1266">
        <v>1.27927290821843</v>
      </c>
      <c r="R1266">
        <v>0.204479260537173</v>
      </c>
      <c r="S1266" t="s">
        <v>3140</v>
      </c>
      <c r="T1266" t="s">
        <v>3746</v>
      </c>
      <c r="U1266" t="s">
        <v>3746</v>
      </c>
      <c r="V1266" t="s">
        <v>3746</v>
      </c>
      <c r="W1266" t="s">
        <v>5000</v>
      </c>
      <c r="X1266">
        <v>2</v>
      </c>
      <c r="Y1266" t="s">
        <v>6794</v>
      </c>
      <c r="Z1266" t="s">
        <v>8654</v>
      </c>
      <c r="AA1266">
        <v>1.249631515435494</v>
      </c>
      <c r="AB1266" t="str">
        <f>HYPERLINK("Melting_Curves/meltCurve_P60866_RPS20.pdf", "Melting_Curves/meltCurve_P60866_RPS20.pdf")</f>
        <v>Melting_Curves/meltCurve_P60866_RPS20.pdf</v>
      </c>
    </row>
    <row r="1267" spans="1:28" x14ac:dyDescent="0.25">
      <c r="A1267" t="s">
        <v>1271</v>
      </c>
      <c r="B1267">
        <v>1</v>
      </c>
      <c r="C1267">
        <v>1.02495279889779</v>
      </c>
      <c r="D1267">
        <v>1.59756595397255</v>
      </c>
      <c r="E1267">
        <v>2.0461039955095202</v>
      </c>
      <c r="F1267">
        <v>1.27065367148033</v>
      </c>
      <c r="G1267">
        <v>1.3480379649946399</v>
      </c>
      <c r="H1267">
        <v>1.2576669898453801</v>
      </c>
      <c r="I1267">
        <v>1.8269377966015199</v>
      </c>
      <c r="J1267">
        <v>1.9625452875440099</v>
      </c>
      <c r="K1267">
        <v>1.8789865795785099</v>
      </c>
      <c r="L1267">
        <v>10851.399159860101</v>
      </c>
      <c r="M1267">
        <v>250</v>
      </c>
      <c r="O1267">
        <v>43.402818980506197</v>
      </c>
      <c r="P1267">
        <v>0.71999931752900903</v>
      </c>
      <c r="Q1267">
        <v>1.5</v>
      </c>
      <c r="R1267">
        <v>0.34194491044924602</v>
      </c>
      <c r="S1267" t="s">
        <v>3141</v>
      </c>
      <c r="T1267" t="s">
        <v>3746</v>
      </c>
      <c r="U1267" t="s">
        <v>3746</v>
      </c>
      <c r="V1267" t="s">
        <v>3746</v>
      </c>
      <c r="W1267" t="s">
        <v>5001</v>
      </c>
      <c r="X1267">
        <v>9</v>
      </c>
      <c r="Y1267" t="s">
        <v>6795</v>
      </c>
      <c r="Z1267" t="s">
        <v>8655</v>
      </c>
      <c r="AA1267">
        <v>1.443201967934667</v>
      </c>
      <c r="AB1267" t="str">
        <f>HYPERLINK("Melting_Curves/meltCurve_P60953_CDC42.pdf", "Melting_Curves/meltCurve_P60953_CDC42.pdf")</f>
        <v>Melting_Curves/meltCurve_P60953_CDC42.pdf</v>
      </c>
    </row>
    <row r="1268" spans="1:28" x14ac:dyDescent="0.25">
      <c r="A1268" t="s">
        <v>1272</v>
      </c>
      <c r="B1268">
        <v>1</v>
      </c>
      <c r="C1268">
        <v>1.0783464607044999</v>
      </c>
      <c r="D1268">
        <v>1.4978449373860101</v>
      </c>
      <c r="E1268">
        <v>1.83542046647171</v>
      </c>
      <c r="F1268">
        <v>1.6631173515655999</v>
      </c>
      <c r="G1268">
        <v>1.73128458034868</v>
      </c>
      <c r="H1268">
        <v>0.89902283449322895</v>
      </c>
      <c r="I1268">
        <v>1.49275022671462</v>
      </c>
      <c r="J1268">
        <v>1.49325969778176</v>
      </c>
      <c r="K1268">
        <v>1.32635697618732</v>
      </c>
      <c r="L1268">
        <v>10796.420402341801</v>
      </c>
      <c r="M1268">
        <v>250</v>
      </c>
      <c r="O1268">
        <v>43.182918057548903</v>
      </c>
      <c r="P1268">
        <v>0.71264022152277495</v>
      </c>
      <c r="Q1268">
        <v>1.4923821475541601</v>
      </c>
      <c r="R1268">
        <v>0.36241094696723902</v>
      </c>
      <c r="S1268" t="s">
        <v>3142</v>
      </c>
      <c r="T1268" t="s">
        <v>3746</v>
      </c>
      <c r="U1268" t="s">
        <v>3746</v>
      </c>
      <c r="V1268" t="s">
        <v>3746</v>
      </c>
      <c r="W1268" t="s">
        <v>5002</v>
      </c>
      <c r="X1268">
        <v>6</v>
      </c>
      <c r="Y1268" t="s">
        <v>6796</v>
      </c>
      <c r="Z1268" t="s">
        <v>8656</v>
      </c>
      <c r="AA1268">
        <v>1.440059071399584</v>
      </c>
      <c r="AB1268" t="str">
        <f>HYPERLINK("Melting_Curves/meltCurve_P60981_DSTN.pdf", "Melting_Curves/meltCurve_P60981_DSTN.pdf")</f>
        <v>Melting_Curves/meltCurve_P60981_DSTN.pdf</v>
      </c>
    </row>
    <row r="1269" spans="1:28" x14ac:dyDescent="0.25">
      <c r="A1269" t="s">
        <v>1273</v>
      </c>
      <c r="B1269">
        <v>1</v>
      </c>
      <c r="C1269">
        <v>1.0333463465417401</v>
      </c>
      <c r="D1269">
        <v>1.4666536534582599</v>
      </c>
      <c r="E1269">
        <v>1.85369900448956</v>
      </c>
      <c r="F1269">
        <v>1.34611881059275</v>
      </c>
      <c r="G1269">
        <v>1.4607001106122699</v>
      </c>
      <c r="H1269">
        <v>1.1813390591450299</v>
      </c>
      <c r="I1269">
        <v>1.62437373934544</v>
      </c>
      <c r="J1269">
        <v>1.73085431713189</v>
      </c>
      <c r="K1269">
        <v>1.56841694319735</v>
      </c>
      <c r="L1269">
        <v>3427.7267232904901</v>
      </c>
      <c r="M1269">
        <v>77.225964505412406</v>
      </c>
      <c r="O1269">
        <v>44.355943004355197</v>
      </c>
      <c r="P1269">
        <v>0.21763143556832701</v>
      </c>
      <c r="Q1269">
        <v>1.5</v>
      </c>
      <c r="R1269">
        <v>0.56044079606003305</v>
      </c>
      <c r="S1269" t="s">
        <v>3143</v>
      </c>
      <c r="T1269" t="s">
        <v>3746</v>
      </c>
      <c r="U1269" t="s">
        <v>3746</v>
      </c>
      <c r="V1269" t="s">
        <v>3746</v>
      </c>
      <c r="W1269" t="s">
        <v>5003</v>
      </c>
      <c r="X1269">
        <v>9</v>
      </c>
      <c r="Y1269" t="s">
        <v>6797</v>
      </c>
      <c r="Z1269" t="s">
        <v>8657</v>
      </c>
      <c r="AA1269">
        <v>1.4264947545785129</v>
      </c>
      <c r="AB1269" t="str">
        <f>HYPERLINK("Melting_Curves/meltCurve_P61006_RAB8A.pdf", "Melting_Curves/meltCurve_P61006_RAB8A.pdf")</f>
        <v>Melting_Curves/meltCurve_P61006_RAB8A.pdf</v>
      </c>
    </row>
    <row r="1270" spans="1:28" x14ac:dyDescent="0.25">
      <c r="A1270" t="s">
        <v>1274</v>
      </c>
      <c r="B1270">
        <v>1</v>
      </c>
      <c r="C1270">
        <v>0.99388874379733605</v>
      </c>
      <c r="D1270">
        <v>1.5475319926873901</v>
      </c>
      <c r="E1270">
        <v>2.1160877513711198</v>
      </c>
      <c r="F1270">
        <v>1.3547923739879899</v>
      </c>
      <c r="G1270">
        <v>1.35884042831026</v>
      </c>
      <c r="H1270">
        <v>1.0811961347610299</v>
      </c>
      <c r="I1270">
        <v>1.4875946722381801</v>
      </c>
      <c r="J1270">
        <v>1.4181248367720001</v>
      </c>
      <c r="K1270">
        <v>1.50235048315487</v>
      </c>
      <c r="L1270">
        <v>11049.2606249523</v>
      </c>
      <c r="M1270">
        <v>250</v>
      </c>
      <c r="O1270">
        <v>44.194209450681399</v>
      </c>
      <c r="P1270">
        <v>0.68351329654595006</v>
      </c>
      <c r="Q1270">
        <v>1.4833173279037599</v>
      </c>
      <c r="R1270">
        <v>0.38564706551867001</v>
      </c>
      <c r="S1270" t="s">
        <v>3144</v>
      </c>
      <c r="T1270" t="s">
        <v>3746</v>
      </c>
      <c r="U1270" t="s">
        <v>3746</v>
      </c>
      <c r="V1270" t="s">
        <v>3746</v>
      </c>
      <c r="W1270" t="s">
        <v>5004</v>
      </c>
      <c r="X1270">
        <v>1</v>
      </c>
      <c r="Y1270" t="s">
        <v>6798</v>
      </c>
      <c r="Z1270" t="s">
        <v>8658</v>
      </c>
      <c r="AA1270">
        <v>1.4156630604661651</v>
      </c>
      <c r="AB1270" t="str">
        <f>HYPERLINK("Melting_Curves/meltCurve_P61009_SPCS3.pdf", "Melting_Curves/meltCurve_P61009_SPCS3.pdf")</f>
        <v>Melting_Curves/meltCurve_P61009_SPCS3.pdf</v>
      </c>
    </row>
    <row r="1271" spans="1:28" x14ac:dyDescent="0.25">
      <c r="A1271" t="s">
        <v>1275</v>
      </c>
      <c r="B1271">
        <v>1</v>
      </c>
      <c r="C1271">
        <v>0.87322320399539</v>
      </c>
      <c r="D1271">
        <v>1.4191317710334199</v>
      </c>
      <c r="E1271">
        <v>1.88971516382196</v>
      </c>
      <c r="F1271">
        <v>1.60276603918556</v>
      </c>
      <c r="G1271">
        <v>2.0042258932001502</v>
      </c>
      <c r="H1271">
        <v>1.2304209428681201</v>
      </c>
      <c r="I1271">
        <v>1.7375281268865601</v>
      </c>
      <c r="J1271">
        <v>2.19872674386697</v>
      </c>
      <c r="K1271">
        <v>1.9009110367158799</v>
      </c>
      <c r="L1271">
        <v>11424.313296643</v>
      </c>
      <c r="M1271">
        <v>250</v>
      </c>
      <c r="O1271">
        <v>45.694328914718298</v>
      </c>
      <c r="P1271">
        <v>0.68389230813810897</v>
      </c>
      <c r="Q1271">
        <v>1.5</v>
      </c>
      <c r="R1271">
        <v>0.31621557904980102</v>
      </c>
      <c r="S1271" t="s">
        <v>3145</v>
      </c>
      <c r="T1271" t="s">
        <v>3746</v>
      </c>
      <c r="U1271" t="s">
        <v>3746</v>
      </c>
      <c r="V1271" t="s">
        <v>3746</v>
      </c>
      <c r="W1271" t="s">
        <v>5005</v>
      </c>
      <c r="X1271">
        <v>2</v>
      </c>
      <c r="Y1271" t="s">
        <v>6799</v>
      </c>
      <c r="Z1271" t="s">
        <v>8659</v>
      </c>
      <c r="AA1271">
        <v>1.405005681239732</v>
      </c>
      <c r="AB1271" t="str">
        <f>HYPERLINK("Melting_Curves/meltCurve_P61011_2_SRP54.pdf", "Melting_Curves/meltCurve_P61011_2_SRP54.pdf")</f>
        <v>Melting_Curves/meltCurve_P61011_2_SRP54.pdf</v>
      </c>
    </row>
    <row r="1272" spans="1:28" x14ac:dyDescent="0.25">
      <c r="A1272" t="s">
        <v>1276</v>
      </c>
      <c r="B1272">
        <v>1</v>
      </c>
      <c r="C1272">
        <v>0.97188951356636499</v>
      </c>
      <c r="D1272">
        <v>1.53972133952579</v>
      </c>
      <c r="E1272">
        <v>1.9894891224639499</v>
      </c>
      <c r="F1272">
        <v>1.4126130530432699</v>
      </c>
      <c r="G1272">
        <v>1.7399168907357601</v>
      </c>
      <c r="H1272">
        <v>0.94003096227491201</v>
      </c>
      <c r="I1272">
        <v>1.8275890165403701</v>
      </c>
      <c r="J1272">
        <v>1.7756049865558501</v>
      </c>
      <c r="K1272">
        <v>1.6036828811211601</v>
      </c>
      <c r="L1272">
        <v>11092.8718103296</v>
      </c>
      <c r="M1272">
        <v>250</v>
      </c>
      <c r="O1272">
        <v>44.368647790406499</v>
      </c>
      <c r="P1272">
        <v>0.70432617656851304</v>
      </c>
      <c r="Q1272">
        <v>1.5</v>
      </c>
      <c r="R1272">
        <v>0.39146098392892298</v>
      </c>
      <c r="S1272" t="s">
        <v>3146</v>
      </c>
      <c r="T1272" t="s">
        <v>3746</v>
      </c>
      <c r="U1272" t="s">
        <v>3746</v>
      </c>
      <c r="V1272" t="s">
        <v>3746</v>
      </c>
      <c r="W1272" t="s">
        <v>5006</v>
      </c>
      <c r="X1272">
        <v>8</v>
      </c>
      <c r="Y1272" t="s">
        <v>6800</v>
      </c>
      <c r="Z1272" t="s">
        <v>8660</v>
      </c>
      <c r="AA1272">
        <v>1.427102943676589</v>
      </c>
      <c r="AB1272" t="str">
        <f>HYPERLINK("Melting_Curves/meltCurve_P61019_RAB2A.pdf", "Melting_Curves/meltCurve_P61019_RAB2A.pdf")</f>
        <v>Melting_Curves/meltCurve_P61019_RAB2A.pdf</v>
      </c>
    </row>
    <row r="1273" spans="1:28" x14ac:dyDescent="0.25">
      <c r="A1273" t="s">
        <v>1277</v>
      </c>
      <c r="B1273">
        <v>1</v>
      </c>
      <c r="C1273">
        <v>1.0129261593149099</v>
      </c>
      <c r="D1273">
        <v>1.65131685248021</v>
      </c>
      <c r="E1273">
        <v>2.4565357893035999</v>
      </c>
      <c r="F1273">
        <v>1.66076910647924</v>
      </c>
      <c r="G1273">
        <v>2.0109064469219602</v>
      </c>
      <c r="H1273">
        <v>1.43908547422847</v>
      </c>
      <c r="I1273">
        <v>2.0651155275488802</v>
      </c>
      <c r="J1273">
        <v>2.1800775569558901</v>
      </c>
      <c r="K1273">
        <v>2.01543060268218</v>
      </c>
      <c r="L1273">
        <v>10880.663987112701</v>
      </c>
      <c r="M1273">
        <v>250</v>
      </c>
      <c r="O1273">
        <v>43.519870308611203</v>
      </c>
      <c r="P1273">
        <v>0.71806279456591804</v>
      </c>
      <c r="Q1273">
        <v>1.5</v>
      </c>
      <c r="R1273">
        <v>-6.2483428853456799E-2</v>
      </c>
      <c r="S1273" t="s">
        <v>3147</v>
      </c>
      <c r="T1273" t="s">
        <v>3746</v>
      </c>
      <c r="U1273" t="s">
        <v>3746</v>
      </c>
      <c r="V1273" t="s">
        <v>3746</v>
      </c>
      <c r="W1273" t="s">
        <v>5007</v>
      </c>
      <c r="X1273">
        <v>5</v>
      </c>
      <c r="Y1273" t="s">
        <v>6801</v>
      </c>
      <c r="Z1273" t="s">
        <v>8661</v>
      </c>
      <c r="AA1273">
        <v>1.441250876733239</v>
      </c>
      <c r="AB1273" t="str">
        <f>HYPERLINK("Melting_Curves/meltCurve_P61020_RAB5B.pdf", "Melting_Curves/meltCurve_P61020_RAB5B.pdf")</f>
        <v>Melting_Curves/meltCurve_P61020_RAB5B.pdf</v>
      </c>
    </row>
    <row r="1274" spans="1:28" x14ac:dyDescent="0.25">
      <c r="A1274" t="s">
        <v>1278</v>
      </c>
      <c r="B1274">
        <v>1</v>
      </c>
      <c r="C1274">
        <v>0.93562992868731798</v>
      </c>
      <c r="D1274">
        <v>1.3222276723389801</v>
      </c>
      <c r="E1274">
        <v>1.68780892729125</v>
      </c>
      <c r="F1274">
        <v>0.89371014602120502</v>
      </c>
      <c r="G1274">
        <v>0.665622759687583</v>
      </c>
      <c r="H1274">
        <v>0.86250613138135301</v>
      </c>
      <c r="I1274">
        <v>0.89038976719616603</v>
      </c>
      <c r="J1274">
        <v>1.1184016903746701</v>
      </c>
      <c r="K1274">
        <v>1.0789344602497799</v>
      </c>
      <c r="L1274">
        <v>5391.4443595831699</v>
      </c>
      <c r="M1274">
        <v>103.13367029192899</v>
      </c>
      <c r="O1274">
        <v>52.2566518119215</v>
      </c>
      <c r="P1274">
        <v>-4.0483459138788203E-2</v>
      </c>
      <c r="Q1274">
        <v>0.91795001317588099</v>
      </c>
      <c r="R1274">
        <v>2.3538096605007899E-2</v>
      </c>
      <c r="S1274" t="s">
        <v>3148</v>
      </c>
      <c r="T1274" t="s">
        <v>3746</v>
      </c>
      <c r="U1274" t="s">
        <v>3746</v>
      </c>
      <c r="V1274" t="s">
        <v>3746</v>
      </c>
      <c r="W1274" t="s">
        <v>5008</v>
      </c>
      <c r="X1274">
        <v>6</v>
      </c>
      <c r="Y1274" t="s">
        <v>6802</v>
      </c>
      <c r="Z1274" t="s">
        <v>8662</v>
      </c>
      <c r="AA1274">
        <v>0.95156990625562587</v>
      </c>
      <c r="AB1274" t="str">
        <f>HYPERLINK("Melting_Curves/meltCurve_P61026_RAB10.pdf", "Melting_Curves/meltCurve_P61026_RAB10.pdf")</f>
        <v>Melting_Curves/meltCurve_P61026_RAB10.pdf</v>
      </c>
    </row>
    <row r="1275" spans="1:28" x14ac:dyDescent="0.25">
      <c r="A1275" t="s">
        <v>1279</v>
      </c>
      <c r="B1275">
        <v>1</v>
      </c>
      <c r="C1275">
        <v>1.1568146735675999</v>
      </c>
      <c r="D1275">
        <v>1.4387541995823101</v>
      </c>
      <c r="E1275">
        <v>1.9294470171615401</v>
      </c>
      <c r="F1275">
        <v>1.14537364932353</v>
      </c>
      <c r="G1275">
        <v>1.13057295923</v>
      </c>
      <c r="H1275">
        <v>1.2050304185962</v>
      </c>
      <c r="I1275">
        <v>1.6863706528647999</v>
      </c>
      <c r="J1275">
        <v>1.81440116226278</v>
      </c>
      <c r="K1275">
        <v>1.68137655498048</v>
      </c>
      <c r="L1275">
        <v>2131.9242565029399</v>
      </c>
      <c r="M1275">
        <v>48.869969579653599</v>
      </c>
      <c r="O1275">
        <v>43.551564196422397</v>
      </c>
      <c r="P1275">
        <v>0.14026481538691701</v>
      </c>
      <c r="Q1275">
        <v>1.5</v>
      </c>
      <c r="R1275">
        <v>0.30245748590107502</v>
      </c>
      <c r="S1275" t="s">
        <v>3149</v>
      </c>
      <c r="T1275" t="s">
        <v>3746</v>
      </c>
      <c r="U1275" t="s">
        <v>3746</v>
      </c>
      <c r="V1275" t="s">
        <v>3746</v>
      </c>
      <c r="W1275" t="s">
        <v>5009</v>
      </c>
      <c r="X1275">
        <v>3</v>
      </c>
      <c r="Y1275" t="s">
        <v>6803</v>
      </c>
      <c r="Z1275" t="s">
        <v>8663</v>
      </c>
      <c r="AA1275">
        <v>1.4384423866055931</v>
      </c>
      <c r="AB1275" t="str">
        <f>HYPERLINK("Melting_Curves/meltCurve_P61077_UBE2D3.pdf", "Melting_Curves/meltCurve_P61077_UBE2D3.pdf")</f>
        <v>Melting_Curves/meltCurve_P61077_UBE2D3.pdf</v>
      </c>
    </row>
    <row r="1276" spans="1:28" x14ac:dyDescent="0.25">
      <c r="A1276" t="s">
        <v>1280</v>
      </c>
      <c r="B1276">
        <v>1</v>
      </c>
      <c r="C1276">
        <v>1.19203690216072</v>
      </c>
      <c r="D1276">
        <v>1.45027110140002</v>
      </c>
      <c r="E1276">
        <v>1.6194060046937</v>
      </c>
      <c r="F1276">
        <v>1.6251517358582199</v>
      </c>
      <c r="G1276">
        <v>1.27951768228534</v>
      </c>
      <c r="H1276">
        <v>1.0655498907501799</v>
      </c>
      <c r="I1276">
        <v>1.22359796067007</v>
      </c>
      <c r="J1276">
        <v>2.0185320061503602</v>
      </c>
      <c r="K1276">
        <v>1.4794043861778701</v>
      </c>
      <c r="L1276">
        <v>2436.1699812431102</v>
      </c>
      <c r="M1276">
        <v>56.402605942853803</v>
      </c>
      <c r="O1276">
        <v>43.138318291836001</v>
      </c>
      <c r="P1276">
        <v>0.154312717799611</v>
      </c>
      <c r="Q1276">
        <v>1.4720907198694599</v>
      </c>
      <c r="R1276">
        <v>0.28530900508639201</v>
      </c>
      <c r="S1276" t="s">
        <v>3150</v>
      </c>
      <c r="T1276" t="s">
        <v>3746</v>
      </c>
      <c r="U1276" t="s">
        <v>3746</v>
      </c>
      <c r="V1276" t="s">
        <v>3746</v>
      </c>
      <c r="W1276" t="s">
        <v>5010</v>
      </c>
      <c r="X1276">
        <v>2</v>
      </c>
      <c r="Y1276" t="s">
        <v>6804</v>
      </c>
      <c r="Z1276" t="s">
        <v>8664</v>
      </c>
      <c r="AA1276">
        <v>1.4210358847971221</v>
      </c>
      <c r="AB1276" t="str">
        <f>HYPERLINK("Melting_Curves/meltCurve_P61081_UBE2M.pdf", "Melting_Curves/meltCurve_P61081_UBE2M.pdf")</f>
        <v>Melting_Curves/meltCurve_P61081_UBE2M.pdf</v>
      </c>
    </row>
    <row r="1277" spans="1:28" x14ac:dyDescent="0.25">
      <c r="A1277" t="s">
        <v>1281</v>
      </c>
      <c r="B1277">
        <v>1</v>
      </c>
      <c r="C1277">
        <v>0.98237246534460199</v>
      </c>
      <c r="D1277">
        <v>1.5269294061863701</v>
      </c>
      <c r="E1277">
        <v>2.3449920508744002</v>
      </c>
      <c r="F1277">
        <v>2.2295205422140398</v>
      </c>
      <c r="G1277">
        <v>2.85206258890469</v>
      </c>
      <c r="H1277">
        <v>1.5337628650322099</v>
      </c>
      <c r="I1277">
        <v>2.3296516330572099</v>
      </c>
      <c r="J1277">
        <v>2.4391264329344802</v>
      </c>
      <c r="K1277">
        <v>2.2084623323013401</v>
      </c>
      <c r="L1277">
        <v>11091.2465054768</v>
      </c>
      <c r="M1277">
        <v>250</v>
      </c>
      <c r="O1277">
        <v>44.362139758443703</v>
      </c>
      <c r="P1277">
        <v>0.70442938782882503</v>
      </c>
      <c r="Q1277">
        <v>1.5</v>
      </c>
      <c r="R1277">
        <v>-0.39575171267664</v>
      </c>
      <c r="S1277" t="s">
        <v>3151</v>
      </c>
      <c r="T1277" t="s">
        <v>3746</v>
      </c>
      <c r="U1277" t="s">
        <v>3746</v>
      </c>
      <c r="V1277" t="s">
        <v>3746</v>
      </c>
      <c r="W1277" t="s">
        <v>5011</v>
      </c>
      <c r="X1277">
        <v>6</v>
      </c>
      <c r="Y1277" t="s">
        <v>6805</v>
      </c>
      <c r="Z1277" t="s">
        <v>8665</v>
      </c>
      <c r="AA1277">
        <v>1.4272113030382121</v>
      </c>
      <c r="AB1277" t="str">
        <f>HYPERLINK("Melting_Curves/meltCurve_P61088_UBE2N.pdf", "Melting_Curves/meltCurve_P61088_UBE2N.pdf")</f>
        <v>Melting_Curves/meltCurve_P61088_UBE2N.pdf</v>
      </c>
    </row>
    <row r="1278" spans="1:28" x14ac:dyDescent="0.25">
      <c r="A1278" t="s">
        <v>1282</v>
      </c>
      <c r="B1278">
        <v>1</v>
      </c>
      <c r="C1278">
        <v>1.02963590177815</v>
      </c>
      <c r="D1278">
        <v>1.3563956188030899</v>
      </c>
      <c r="E1278">
        <v>1.6771735270820201</v>
      </c>
      <c r="F1278">
        <v>1.2082707383027</v>
      </c>
      <c r="G1278">
        <v>1.4698314714156899</v>
      </c>
      <c r="H1278">
        <v>0.90702247958263904</v>
      </c>
      <c r="I1278">
        <v>1.42905137800115</v>
      </c>
      <c r="J1278">
        <v>1.50178907978476</v>
      </c>
      <c r="K1278">
        <v>1.3052907596077701</v>
      </c>
      <c r="L1278">
        <v>5728.4713371023499</v>
      </c>
      <c r="M1278">
        <v>131.12896582853801</v>
      </c>
      <c r="O1278">
        <v>43.675622427907101</v>
      </c>
      <c r="P1278">
        <v>0.26789403744499701</v>
      </c>
      <c r="Q1278">
        <v>1.3569139325537101</v>
      </c>
      <c r="R1278">
        <v>0.33726967248657302</v>
      </c>
      <c r="S1278" t="s">
        <v>3152</v>
      </c>
      <c r="T1278" t="s">
        <v>3746</v>
      </c>
      <c r="U1278" t="s">
        <v>3746</v>
      </c>
      <c r="V1278" t="s">
        <v>3746</v>
      </c>
      <c r="W1278" t="s">
        <v>5012</v>
      </c>
      <c r="X1278">
        <v>3</v>
      </c>
      <c r="Y1278" t="s">
        <v>6806</v>
      </c>
      <c r="Z1278" t="s">
        <v>8666</v>
      </c>
      <c r="AA1278">
        <v>1.3129641688684539</v>
      </c>
      <c r="AB1278" t="str">
        <f>HYPERLINK("Melting_Curves/meltCurve_P61106_RAB14.pdf", "Melting_Curves/meltCurve_P61106_RAB14.pdf")</f>
        <v>Melting_Curves/meltCurve_P61106_RAB14.pdf</v>
      </c>
    </row>
    <row r="1279" spans="1:28" x14ac:dyDescent="0.25">
      <c r="A1279" t="s">
        <v>1283</v>
      </c>
      <c r="B1279">
        <v>1</v>
      </c>
      <c r="C1279">
        <v>1.00414710485133</v>
      </c>
      <c r="D1279">
        <v>1.4255399061032901</v>
      </c>
      <c r="E1279">
        <v>1.74100156494523</v>
      </c>
      <c r="F1279">
        <v>1.5130985915493</v>
      </c>
      <c r="G1279">
        <v>1.84194053208138</v>
      </c>
      <c r="H1279">
        <v>1.69921752738654</v>
      </c>
      <c r="I1279">
        <v>2.26118935837246</v>
      </c>
      <c r="J1279">
        <v>2.5004694835680801</v>
      </c>
      <c r="K1279">
        <v>2.3450704225352101</v>
      </c>
      <c r="L1279">
        <v>5238.3718946252302</v>
      </c>
      <c r="M1279">
        <v>115.62197414282799</v>
      </c>
      <c r="O1279">
        <v>45.292478464198297</v>
      </c>
      <c r="P1279">
        <v>0.31909820394814198</v>
      </c>
      <c r="Q1279">
        <v>1.5</v>
      </c>
      <c r="R1279">
        <v>-1.7134410699043E-2</v>
      </c>
      <c r="S1279" t="s">
        <v>3153</v>
      </c>
      <c r="T1279" t="s">
        <v>3746</v>
      </c>
      <c r="U1279" t="s">
        <v>3746</v>
      </c>
      <c r="V1279" t="s">
        <v>3746</v>
      </c>
      <c r="W1279" t="s">
        <v>5013</v>
      </c>
      <c r="X1279">
        <v>10</v>
      </c>
      <c r="Y1279" t="s">
        <v>6807</v>
      </c>
      <c r="Z1279" t="s">
        <v>8667</v>
      </c>
      <c r="AA1279">
        <v>1.41138025467318</v>
      </c>
      <c r="AB1279" t="str">
        <f>HYPERLINK("Melting_Curves/meltCurve_P61158_ACTR3.pdf", "Melting_Curves/meltCurve_P61158_ACTR3.pdf")</f>
        <v>Melting_Curves/meltCurve_P61158_ACTR3.pdf</v>
      </c>
    </row>
    <row r="1280" spans="1:28" x14ac:dyDescent="0.25">
      <c r="A1280" t="s">
        <v>1284</v>
      </c>
      <c r="B1280">
        <v>1</v>
      </c>
      <c r="C1280">
        <v>0.92989241262920996</v>
      </c>
      <c r="D1280">
        <v>1.2455171928837601</v>
      </c>
      <c r="E1280">
        <v>1.45626186625413</v>
      </c>
      <c r="F1280">
        <v>1.2428450882497699</v>
      </c>
      <c r="G1280">
        <v>1.9232473103157299</v>
      </c>
      <c r="H1280">
        <v>1.2884818226566299</v>
      </c>
      <c r="I1280">
        <v>2.28563392166514</v>
      </c>
      <c r="J1280">
        <v>2.1414809085155802</v>
      </c>
      <c r="K1280">
        <v>1.9516911609591401</v>
      </c>
      <c r="L1280">
        <v>11501.6498514956</v>
      </c>
      <c r="M1280">
        <v>250</v>
      </c>
      <c r="O1280">
        <v>46.003655246209597</v>
      </c>
      <c r="P1280">
        <v>0.67929384829238904</v>
      </c>
      <c r="Q1280">
        <v>1.5</v>
      </c>
      <c r="R1280">
        <v>0.28618444776511998</v>
      </c>
      <c r="S1280" t="s">
        <v>3154</v>
      </c>
      <c r="T1280" t="s">
        <v>3746</v>
      </c>
      <c r="U1280" t="s">
        <v>3746</v>
      </c>
      <c r="V1280" t="s">
        <v>3746</v>
      </c>
      <c r="W1280" t="s">
        <v>5014</v>
      </c>
      <c r="X1280">
        <v>6</v>
      </c>
      <c r="Y1280" t="s">
        <v>6808</v>
      </c>
      <c r="Z1280" t="s">
        <v>8668</v>
      </c>
      <c r="AA1280">
        <v>1.399849639467325</v>
      </c>
      <c r="AB1280" t="str">
        <f>HYPERLINK("Melting_Curves/meltCurve_P61160_ACTR2.pdf", "Melting_Curves/meltCurve_P61160_ACTR2.pdf")</f>
        <v>Melting_Curves/meltCurve_P61160_ACTR2.pdf</v>
      </c>
    </row>
    <row r="1281" spans="1:28" x14ac:dyDescent="0.25">
      <c r="A1281" t="s">
        <v>1285</v>
      </c>
      <c r="B1281">
        <v>1</v>
      </c>
      <c r="C1281">
        <v>0.94760714972131499</v>
      </c>
      <c r="D1281">
        <v>1.5536229098597001</v>
      </c>
      <c r="E1281">
        <v>2.0364212954065</v>
      </c>
      <c r="F1281">
        <v>1.6715356525081699</v>
      </c>
      <c r="G1281">
        <v>1.87305400730348</v>
      </c>
      <c r="H1281">
        <v>1.3962137228522</v>
      </c>
      <c r="I1281">
        <v>2.1311743225062498</v>
      </c>
      <c r="J1281">
        <v>2.33893907361138</v>
      </c>
      <c r="K1281">
        <v>2.02959830866808</v>
      </c>
      <c r="L1281">
        <v>11100.0046755275</v>
      </c>
      <c r="M1281">
        <v>250</v>
      </c>
      <c r="O1281">
        <v>44.397177426005697</v>
      </c>
      <c r="P1281">
        <v>0.70387357642827497</v>
      </c>
      <c r="Q1281">
        <v>1.5</v>
      </c>
      <c r="R1281">
        <v>7.9872221507326494E-2</v>
      </c>
      <c r="S1281" t="s">
        <v>3155</v>
      </c>
      <c r="T1281" t="s">
        <v>3746</v>
      </c>
      <c r="U1281" t="s">
        <v>3746</v>
      </c>
      <c r="V1281" t="s">
        <v>3746</v>
      </c>
      <c r="W1281" t="s">
        <v>5015</v>
      </c>
      <c r="X1281">
        <v>7</v>
      </c>
      <c r="Y1281" t="s">
        <v>6809</v>
      </c>
      <c r="Z1281" t="s">
        <v>8669</v>
      </c>
      <c r="AA1281">
        <v>1.426627394293928</v>
      </c>
      <c r="AB1281" t="str">
        <f>HYPERLINK("Melting_Curves/meltCurve_P61224_RAP1B.pdf", "Melting_Curves/meltCurve_P61224_RAP1B.pdf")</f>
        <v>Melting_Curves/meltCurve_P61224_RAP1B.pdf</v>
      </c>
    </row>
    <row r="1282" spans="1:28" x14ac:dyDescent="0.25">
      <c r="A1282" t="s">
        <v>1286</v>
      </c>
      <c r="B1282">
        <v>1</v>
      </c>
      <c r="C1282">
        <v>1.11392653702612</v>
      </c>
      <c r="D1282">
        <v>1.3017088980553899</v>
      </c>
      <c r="E1282">
        <v>1.5879984285994899</v>
      </c>
      <c r="F1282">
        <v>1.0620703201728501</v>
      </c>
      <c r="G1282">
        <v>1.49066980946769</v>
      </c>
      <c r="H1282">
        <v>0.86875859359654295</v>
      </c>
      <c r="I1282">
        <v>1.60999803574936</v>
      </c>
      <c r="J1282">
        <v>1.3882341386760999</v>
      </c>
      <c r="K1282">
        <v>1.4441170693380501</v>
      </c>
      <c r="L1282">
        <v>1997.93270602651</v>
      </c>
      <c r="M1282">
        <v>45.802630918329697</v>
      </c>
      <c r="O1282">
        <v>43.537562198238497</v>
      </c>
      <c r="P1282">
        <v>9.1603987205729404E-2</v>
      </c>
      <c r="Q1282">
        <v>1.3482953087968299</v>
      </c>
      <c r="R1282">
        <v>0.22937040467306899</v>
      </c>
      <c r="S1282" t="s">
        <v>3156</v>
      </c>
      <c r="T1282" t="s">
        <v>3746</v>
      </c>
      <c r="U1282" t="s">
        <v>3746</v>
      </c>
      <c r="V1282" t="s">
        <v>3746</v>
      </c>
      <c r="W1282" t="s">
        <v>5016</v>
      </c>
      <c r="X1282">
        <v>1</v>
      </c>
      <c r="Y1282" t="s">
        <v>6810</v>
      </c>
      <c r="Z1282" t="s">
        <v>8670</v>
      </c>
      <c r="AA1282">
        <v>1.3053221243774991</v>
      </c>
      <c r="AB1282" t="str">
        <f>HYPERLINK("Melting_Curves/meltCurve_P61225_RAP2B.pdf", "Melting_Curves/meltCurve_P61225_RAP2B.pdf")</f>
        <v>Melting_Curves/meltCurve_P61225_RAP2B.pdf</v>
      </c>
    </row>
    <row r="1283" spans="1:28" x14ac:dyDescent="0.25">
      <c r="A1283" t="s">
        <v>1287</v>
      </c>
      <c r="B1283">
        <v>1</v>
      </c>
      <c r="C1283">
        <v>1.0325809659705101</v>
      </c>
      <c r="D1283">
        <v>1.5688372897479099</v>
      </c>
      <c r="E1283">
        <v>2.6592294720456602</v>
      </c>
      <c r="F1283">
        <v>1.62137328663467</v>
      </c>
      <c r="G1283">
        <v>2.6903619146452198</v>
      </c>
      <c r="H1283">
        <v>2.0536386042288202</v>
      </c>
      <c r="I1283">
        <v>2.7247373200155698</v>
      </c>
      <c r="J1283">
        <v>2.0451204220175598</v>
      </c>
      <c r="K1283">
        <v>1.7585722315907799</v>
      </c>
      <c r="L1283">
        <v>10839.2632053013</v>
      </c>
      <c r="M1283">
        <v>250</v>
      </c>
      <c r="O1283">
        <v>43.354279415567099</v>
      </c>
      <c r="P1283">
        <v>0.72080544971240301</v>
      </c>
      <c r="Q1283">
        <v>1.5</v>
      </c>
      <c r="R1283">
        <v>-0.34047305794791499</v>
      </c>
      <c r="S1283" t="s">
        <v>3157</v>
      </c>
      <c r="T1283" t="s">
        <v>3746</v>
      </c>
      <c r="U1283" t="s">
        <v>3746</v>
      </c>
      <c r="V1283" t="s">
        <v>3746</v>
      </c>
      <c r="W1283" t="s">
        <v>5017</v>
      </c>
      <c r="X1283">
        <v>2</v>
      </c>
      <c r="Y1283" t="s">
        <v>6811</v>
      </c>
      <c r="Z1283" t="s">
        <v>8671</v>
      </c>
      <c r="AA1283">
        <v>1.4440110741682419</v>
      </c>
      <c r="AB1283" t="str">
        <f>HYPERLINK("Melting_Curves/meltCurve_P61353_RPL27.pdf", "Melting_Curves/meltCurve_P61353_RPL27.pdf")</f>
        <v>Melting_Curves/meltCurve_P61353_RPL27.pdf</v>
      </c>
    </row>
    <row r="1284" spans="1:28" x14ac:dyDescent="0.25">
      <c r="A1284" t="s">
        <v>1288</v>
      </c>
      <c r="B1284">
        <v>1</v>
      </c>
      <c r="C1284">
        <v>1.0422747861097099</v>
      </c>
      <c r="D1284">
        <v>1.2100576826294001</v>
      </c>
      <c r="E1284">
        <v>1.34114049010878</v>
      </c>
      <c r="F1284">
        <v>1.0553211257791</v>
      </c>
      <c r="G1284">
        <v>1.1600402617010599</v>
      </c>
      <c r="H1284">
        <v>0.68448763114087696</v>
      </c>
      <c r="I1284">
        <v>0.97208780147884299</v>
      </c>
      <c r="J1284">
        <v>1.0201308505284301</v>
      </c>
      <c r="K1284">
        <v>0.933335914211606</v>
      </c>
      <c r="L1284">
        <v>2579.9586464865602</v>
      </c>
      <c r="M1284">
        <v>43.976595103231404</v>
      </c>
      <c r="O1284">
        <v>58.545706584245501</v>
      </c>
      <c r="P1284">
        <v>-1.54742403402214E-2</v>
      </c>
      <c r="Q1284">
        <v>0.91759716410942704</v>
      </c>
      <c r="R1284">
        <v>2.69994480458241E-2</v>
      </c>
      <c r="S1284" t="s">
        <v>3158</v>
      </c>
      <c r="T1284" t="s">
        <v>3746</v>
      </c>
      <c r="U1284" t="s">
        <v>3746</v>
      </c>
      <c r="V1284" t="s">
        <v>3746</v>
      </c>
      <c r="W1284" t="s">
        <v>5018</v>
      </c>
      <c r="X1284">
        <v>2</v>
      </c>
      <c r="Y1284" t="s">
        <v>6812</v>
      </c>
      <c r="Z1284" t="s">
        <v>8672</v>
      </c>
      <c r="AA1284">
        <v>0.96914158800006545</v>
      </c>
      <c r="AB1284" t="str">
        <f>HYPERLINK("Melting_Curves/meltCurve_P61457_PCBD1.pdf", "Melting_Curves/meltCurve_P61457_PCBD1.pdf")</f>
        <v>Melting_Curves/meltCurve_P61457_PCBD1.pdf</v>
      </c>
    </row>
    <row r="1285" spans="1:28" x14ac:dyDescent="0.25">
      <c r="A1285" t="s">
        <v>1289</v>
      </c>
      <c r="B1285">
        <v>1</v>
      </c>
      <c r="C1285">
        <v>0.95301252126870595</v>
      </c>
      <c r="D1285">
        <v>1.6685572182714501</v>
      </c>
      <c r="E1285">
        <v>2.35500196326513</v>
      </c>
      <c r="F1285">
        <v>1.60006107935954</v>
      </c>
      <c r="G1285">
        <v>1.80668382705816</v>
      </c>
      <c r="H1285">
        <v>1.40059334234981</v>
      </c>
      <c r="I1285">
        <v>2.0779634396405</v>
      </c>
      <c r="J1285">
        <v>2.2958858688538899</v>
      </c>
      <c r="K1285">
        <v>2.0191527420269599</v>
      </c>
      <c r="L1285">
        <v>11072.266480074</v>
      </c>
      <c r="M1285">
        <v>250</v>
      </c>
      <c r="O1285">
        <v>44.286231735567497</v>
      </c>
      <c r="P1285">
        <v>0.70563691755384195</v>
      </c>
      <c r="Q1285">
        <v>1.5</v>
      </c>
      <c r="R1285">
        <v>3.34280098127403E-2</v>
      </c>
      <c r="S1285" t="s">
        <v>3159</v>
      </c>
      <c r="T1285" t="s">
        <v>3746</v>
      </c>
      <c r="U1285" t="s">
        <v>3746</v>
      </c>
      <c r="V1285" t="s">
        <v>3746</v>
      </c>
      <c r="W1285" t="s">
        <v>5019</v>
      </c>
      <c r="X1285">
        <v>7</v>
      </c>
      <c r="Y1285" t="s">
        <v>6813</v>
      </c>
      <c r="Z1285" t="s">
        <v>8673</v>
      </c>
      <c r="AA1285">
        <v>1.4284767046843609</v>
      </c>
      <c r="AB1285" t="str">
        <f>HYPERLINK("Melting_Curves/meltCurve_P61586_RHOA.pdf", "Melting_Curves/meltCurve_P61586_RHOA.pdf")</f>
        <v>Melting_Curves/meltCurve_P61586_RHOA.pdf</v>
      </c>
    </row>
    <row r="1286" spans="1:28" x14ac:dyDescent="0.25">
      <c r="A1286" t="s">
        <v>1290</v>
      </c>
      <c r="B1286">
        <v>1</v>
      </c>
      <c r="C1286">
        <v>1.0538841600626201</v>
      </c>
      <c r="D1286">
        <v>1.31420604637511</v>
      </c>
      <c r="E1286">
        <v>1.5237012034047599</v>
      </c>
      <c r="F1286">
        <v>1.1081229820956899</v>
      </c>
      <c r="G1286">
        <v>1.3846492515409501</v>
      </c>
      <c r="H1286">
        <v>0.67723314744154195</v>
      </c>
      <c r="I1286">
        <v>1.0788327952255199</v>
      </c>
      <c r="J1286">
        <v>1.0188215438802499</v>
      </c>
      <c r="K1286">
        <v>0.95335583602387197</v>
      </c>
      <c r="L1286">
        <v>15000</v>
      </c>
      <c r="M1286">
        <v>211.26824217278599</v>
      </c>
      <c r="Q1286">
        <v>0</v>
      </c>
      <c r="R1286">
        <v>-0.231895199710688</v>
      </c>
      <c r="S1286" t="s">
        <v>3160</v>
      </c>
      <c r="T1286" t="s">
        <v>3746</v>
      </c>
      <c r="U1286" t="s">
        <v>3746</v>
      </c>
      <c r="V1286" t="s">
        <v>3746</v>
      </c>
      <c r="W1286" t="s">
        <v>5020</v>
      </c>
      <c r="X1286">
        <v>5</v>
      </c>
      <c r="Y1286" t="s">
        <v>6814</v>
      </c>
      <c r="Z1286" t="s">
        <v>8674</v>
      </c>
      <c r="AA1286">
        <v>0.99948473064718057</v>
      </c>
      <c r="AB1286" t="str">
        <f>HYPERLINK("Melting_Curves/meltCurve_P61604_HSPE1.pdf", "Melting_Curves/meltCurve_P61604_HSPE1.pdf")</f>
        <v>Melting_Curves/meltCurve_P61604_HSPE1.pdf</v>
      </c>
    </row>
    <row r="1287" spans="1:28" x14ac:dyDescent="0.25">
      <c r="A1287" t="s">
        <v>1291</v>
      </c>
      <c r="B1287">
        <v>1</v>
      </c>
      <c r="C1287">
        <v>0.970194714573688</v>
      </c>
      <c r="D1287">
        <v>1.1174489954145701</v>
      </c>
      <c r="E1287">
        <v>1.29754336220455</v>
      </c>
      <c r="F1287">
        <v>0.68924307201559498</v>
      </c>
      <c r="G1287">
        <v>0.77205768336176195</v>
      </c>
      <c r="H1287">
        <v>0.50121835057483999</v>
      </c>
      <c r="I1287">
        <v>0.69161331767937395</v>
      </c>
      <c r="J1287">
        <v>0.74429036616972699</v>
      </c>
      <c r="K1287">
        <v>0.80308131936291305</v>
      </c>
      <c r="L1287">
        <v>12948.6428535538</v>
      </c>
      <c r="M1287">
        <v>250</v>
      </c>
      <c r="O1287">
        <v>51.791257345931101</v>
      </c>
      <c r="P1287">
        <v>-0.36191602284542801</v>
      </c>
      <c r="Q1287">
        <v>0.700094628874527</v>
      </c>
      <c r="R1287">
        <v>0.67855079184490197</v>
      </c>
      <c r="S1287" t="s">
        <v>3161</v>
      </c>
      <c r="T1287" t="s">
        <v>3746</v>
      </c>
      <c r="U1287" t="s">
        <v>3746</v>
      </c>
      <c r="V1287" t="s">
        <v>3746</v>
      </c>
      <c r="W1287" t="s">
        <v>5021</v>
      </c>
      <c r="X1287">
        <v>7</v>
      </c>
      <c r="Y1287" t="s">
        <v>6815</v>
      </c>
      <c r="Z1287" t="s">
        <v>8675</v>
      </c>
      <c r="AA1287">
        <v>0.81803040044777797</v>
      </c>
      <c r="AB1287" t="str">
        <f>HYPERLINK("Melting_Curves/meltCurve_P61626_LYZ.pdf", "Melting_Curves/meltCurve_P61626_LYZ.pdf")</f>
        <v>Melting_Curves/meltCurve_P61626_LYZ.pdf</v>
      </c>
    </row>
    <row r="1288" spans="1:28" x14ac:dyDescent="0.25">
      <c r="A1288" t="s">
        <v>1292</v>
      </c>
      <c r="B1288">
        <v>1</v>
      </c>
      <c r="C1288">
        <v>0.95925603626303702</v>
      </c>
      <c r="D1288">
        <v>1.38843790993986</v>
      </c>
      <c r="E1288">
        <v>1.6800228592209701</v>
      </c>
      <c r="F1288">
        <v>1.41259595028119</v>
      </c>
      <c r="G1288">
        <v>1.5958593638382701</v>
      </c>
      <c r="H1288">
        <v>1.47597833569286</v>
      </c>
      <c r="I1288">
        <v>2.8913018066577498</v>
      </c>
      <c r="J1288">
        <v>3.2219812190718602</v>
      </c>
      <c r="K1288">
        <v>2.9105243333809598</v>
      </c>
      <c r="L1288">
        <v>11442.6126131117</v>
      </c>
      <c r="M1288">
        <v>250</v>
      </c>
      <c r="O1288">
        <v>45.767521412423697</v>
      </c>
      <c r="P1288">
        <v>0.682798610203881</v>
      </c>
      <c r="Q1288">
        <v>1.5</v>
      </c>
      <c r="R1288">
        <v>-0.11162894469666999</v>
      </c>
      <c r="S1288" t="s">
        <v>3162</v>
      </c>
      <c r="T1288" t="s">
        <v>3746</v>
      </c>
      <c r="U1288" t="s">
        <v>3746</v>
      </c>
      <c r="V1288" t="s">
        <v>3746</v>
      </c>
      <c r="W1288" t="s">
        <v>5022</v>
      </c>
      <c r="X1288">
        <v>16</v>
      </c>
      <c r="Y1288" t="s">
        <v>6816</v>
      </c>
      <c r="Z1288" t="s">
        <v>8676</v>
      </c>
      <c r="AA1288">
        <v>1.4037856625784499</v>
      </c>
      <c r="AB1288" t="str">
        <f>HYPERLINK("Melting_Curves/meltCurve_P61764_STXBP1.pdf", "Melting_Curves/meltCurve_P61764_STXBP1.pdf")</f>
        <v>Melting_Curves/meltCurve_P61764_STXBP1.pdf</v>
      </c>
    </row>
    <row r="1289" spans="1:28" x14ac:dyDescent="0.25">
      <c r="A1289" t="s">
        <v>1293</v>
      </c>
      <c r="B1289">
        <v>1</v>
      </c>
      <c r="C1289">
        <v>1.2249901665137</v>
      </c>
      <c r="D1289">
        <v>1.31991608758358</v>
      </c>
      <c r="E1289">
        <v>1.55880424806608</v>
      </c>
      <c r="F1289">
        <v>1.24924609938377</v>
      </c>
      <c r="G1289">
        <v>1.4188409597482601</v>
      </c>
      <c r="H1289">
        <v>0.77841877540317295</v>
      </c>
      <c r="I1289">
        <v>1.3070669988199799</v>
      </c>
      <c r="J1289">
        <v>1.1044971810672599</v>
      </c>
      <c r="K1289">
        <v>1.09531926052183</v>
      </c>
      <c r="L1289">
        <v>10255.910772704699</v>
      </c>
      <c r="M1289">
        <v>243.089418639374</v>
      </c>
      <c r="O1289">
        <v>42.1870145072361</v>
      </c>
      <c r="P1289">
        <v>0.32990488386440298</v>
      </c>
      <c r="Q1289">
        <v>1.2290137003330199</v>
      </c>
      <c r="R1289">
        <v>0.106166927716287</v>
      </c>
      <c r="S1289" t="s">
        <v>3163</v>
      </c>
      <c r="T1289" t="s">
        <v>3746</v>
      </c>
      <c r="U1289" t="s">
        <v>3746</v>
      </c>
      <c r="V1289" t="s">
        <v>3746</v>
      </c>
      <c r="W1289" t="s">
        <v>5023</v>
      </c>
      <c r="X1289">
        <v>2</v>
      </c>
      <c r="Y1289" t="s">
        <v>6817</v>
      </c>
      <c r="Z1289" t="s">
        <v>8677</v>
      </c>
      <c r="AA1289">
        <v>1.21227876206628</v>
      </c>
      <c r="AB1289" t="str">
        <f>HYPERLINK("Melting_Curves/meltCurve_P61812_TGFB2.pdf", "Melting_Curves/meltCurve_P61812_TGFB2.pdf")</f>
        <v>Melting_Curves/meltCurve_P61812_TGFB2.pdf</v>
      </c>
    </row>
    <row r="1290" spans="1:28" x14ac:dyDescent="0.25">
      <c r="A1290" t="s">
        <v>1294</v>
      </c>
      <c r="B1290">
        <v>1</v>
      </c>
      <c r="C1290">
        <v>0.88965529597248105</v>
      </c>
      <c r="D1290">
        <v>1.57660885767522</v>
      </c>
      <c r="E1290">
        <v>2.5347570589078399</v>
      </c>
      <c r="F1290">
        <v>1.8494696861115101</v>
      </c>
      <c r="G1290">
        <v>1.92650852802064</v>
      </c>
      <c r="H1290">
        <v>1.4354665328937899</v>
      </c>
      <c r="I1290">
        <v>2.1606707754048999</v>
      </c>
      <c r="J1290">
        <v>2.3690339687544801</v>
      </c>
      <c r="K1290">
        <v>2.0830944532033802</v>
      </c>
      <c r="L1290">
        <v>11108.6196738871</v>
      </c>
      <c r="M1290">
        <v>250</v>
      </c>
      <c r="O1290">
        <v>44.431635174572399</v>
      </c>
      <c r="P1290">
        <v>0.703327705754486</v>
      </c>
      <c r="Q1290">
        <v>1.5</v>
      </c>
      <c r="R1290">
        <v>-6.8555527623272494E-2</v>
      </c>
      <c r="S1290" t="s">
        <v>3164</v>
      </c>
      <c r="T1290" t="s">
        <v>3746</v>
      </c>
      <c r="U1290" t="s">
        <v>3746</v>
      </c>
      <c r="V1290" t="s">
        <v>3746</v>
      </c>
      <c r="W1290" t="s">
        <v>5024</v>
      </c>
      <c r="X1290">
        <v>8</v>
      </c>
      <c r="Y1290" t="s">
        <v>6818</v>
      </c>
      <c r="Z1290" t="s">
        <v>8678</v>
      </c>
      <c r="AA1290">
        <v>1.4260530308315791</v>
      </c>
      <c r="AB1290" t="str">
        <f>HYPERLINK("Melting_Curves/meltCurve_P61981_YWHAG.pdf", "Melting_Curves/meltCurve_P61981_YWHAG.pdf")</f>
        <v>Melting_Curves/meltCurve_P61981_YWHAG.pdf</v>
      </c>
    </row>
    <row r="1291" spans="1:28" x14ac:dyDescent="0.25">
      <c r="A1291" t="s">
        <v>1295</v>
      </c>
      <c r="B1291">
        <v>1</v>
      </c>
      <c r="C1291">
        <v>0.92934083056703498</v>
      </c>
      <c r="D1291">
        <v>1.4189418061107</v>
      </c>
      <c r="E1291">
        <v>1.6200121942957799</v>
      </c>
      <c r="F1291">
        <v>1.1044644671770201</v>
      </c>
      <c r="G1291">
        <v>1.1531739042070299</v>
      </c>
      <c r="H1291">
        <v>0.82189553553282302</v>
      </c>
      <c r="I1291">
        <v>1.2553350044035001</v>
      </c>
      <c r="J1291">
        <v>1.2350789241921301</v>
      </c>
      <c r="K1291">
        <v>1.2106903326332901</v>
      </c>
      <c r="L1291">
        <v>11078.417352738999</v>
      </c>
      <c r="M1291">
        <v>250</v>
      </c>
      <c r="O1291">
        <v>44.310833642888703</v>
      </c>
      <c r="P1291">
        <v>0.32081200057278703</v>
      </c>
      <c r="Q1291">
        <v>1.2274471546758201</v>
      </c>
      <c r="R1291">
        <v>0.220352626660338</v>
      </c>
      <c r="S1291" t="s">
        <v>3165</v>
      </c>
      <c r="T1291" t="s">
        <v>3746</v>
      </c>
      <c r="U1291" t="s">
        <v>3746</v>
      </c>
      <c r="V1291" t="s">
        <v>3746</v>
      </c>
      <c r="W1291" t="s">
        <v>5025</v>
      </c>
      <c r="X1291">
        <v>4</v>
      </c>
      <c r="Y1291" t="s">
        <v>6819</v>
      </c>
      <c r="Z1291" t="s">
        <v>8679</v>
      </c>
      <c r="AA1291">
        <v>1.194725071698254</v>
      </c>
      <c r="AB1291" t="str">
        <f>HYPERLINK("Melting_Curves/meltCurve_P62070_RRAS2.pdf", "Melting_Curves/meltCurve_P62070_RRAS2.pdf")</f>
        <v>Melting_Curves/meltCurve_P62070_RRAS2.pdf</v>
      </c>
    </row>
    <row r="1292" spans="1:28" x14ac:dyDescent="0.25">
      <c r="A1292" t="s">
        <v>1296</v>
      </c>
      <c r="B1292">
        <v>1</v>
      </c>
      <c r="C1292">
        <v>0.994075775665342</v>
      </c>
      <c r="D1292">
        <v>1.4255920446130399</v>
      </c>
      <c r="E1292">
        <v>1.9667820278378101</v>
      </c>
      <c r="F1292">
        <v>1.6791851168976399</v>
      </c>
      <c r="G1292">
        <v>1.89816983783947</v>
      </c>
      <c r="H1292">
        <v>1.1284287203977701</v>
      </c>
      <c r="I1292">
        <v>1.96481736160438</v>
      </c>
      <c r="J1292">
        <v>1.8989254786984799</v>
      </c>
      <c r="K1292">
        <v>1.67570916894618</v>
      </c>
      <c r="L1292">
        <v>11419.779756825599</v>
      </c>
      <c r="M1292">
        <v>250</v>
      </c>
      <c r="O1292">
        <v>45.676195891629803</v>
      </c>
      <c r="P1292">
        <v>0.68416380663246501</v>
      </c>
      <c r="Q1292">
        <v>1.5</v>
      </c>
      <c r="R1292">
        <v>0.331089709373317</v>
      </c>
      <c r="S1292" t="s">
        <v>3166</v>
      </c>
      <c r="T1292" t="s">
        <v>3746</v>
      </c>
      <c r="U1292" t="s">
        <v>3746</v>
      </c>
      <c r="V1292" t="s">
        <v>3746</v>
      </c>
      <c r="W1292" t="s">
        <v>5026</v>
      </c>
      <c r="X1292">
        <v>3</v>
      </c>
      <c r="Y1292" t="s">
        <v>6820</v>
      </c>
      <c r="Z1292" t="s">
        <v>8680</v>
      </c>
      <c r="AA1292">
        <v>1.405307933140143</v>
      </c>
      <c r="AB1292" t="str">
        <f>HYPERLINK("Melting_Curves/meltCurve_P62140_PPP1CB.pdf", "Melting_Curves/meltCurve_P62140_PPP1CB.pdf")</f>
        <v>Melting_Curves/meltCurve_P62140_PPP1CB.pdf</v>
      </c>
    </row>
    <row r="1293" spans="1:28" x14ac:dyDescent="0.25">
      <c r="A1293" t="s">
        <v>1297</v>
      </c>
      <c r="B1293">
        <v>1</v>
      </c>
      <c r="C1293">
        <v>0.90097057931452795</v>
      </c>
      <c r="D1293">
        <v>1.22464867050854</v>
      </c>
      <c r="E1293">
        <v>1.9792235365483799</v>
      </c>
      <c r="F1293">
        <v>1.6773834799312499</v>
      </c>
      <c r="G1293">
        <v>1.9151754119907001</v>
      </c>
      <c r="H1293">
        <v>1.2980487311697499</v>
      </c>
      <c r="I1293">
        <v>1.8844404003639701</v>
      </c>
      <c r="J1293">
        <v>2.0622282883429399</v>
      </c>
      <c r="K1293">
        <v>1.81584268526944</v>
      </c>
      <c r="L1293">
        <v>11509.3614659347</v>
      </c>
      <c r="M1293">
        <v>250</v>
      </c>
      <c r="O1293">
        <v>46.034499532242002</v>
      </c>
      <c r="P1293">
        <v>0.67883870121338996</v>
      </c>
      <c r="Q1293">
        <v>1.5</v>
      </c>
      <c r="R1293">
        <v>0.37078000308669401</v>
      </c>
      <c r="S1293" t="s">
        <v>3167</v>
      </c>
      <c r="T1293" t="s">
        <v>3746</v>
      </c>
      <c r="U1293" t="s">
        <v>3746</v>
      </c>
      <c r="V1293" t="s">
        <v>3746</v>
      </c>
      <c r="W1293" t="s">
        <v>5027</v>
      </c>
      <c r="X1293">
        <v>5</v>
      </c>
      <c r="Y1293" t="s">
        <v>6821</v>
      </c>
      <c r="Z1293" t="s">
        <v>8681</v>
      </c>
      <c r="AA1293">
        <v>1.3993355047705249</v>
      </c>
      <c r="AB1293" t="str">
        <f>HYPERLINK("Melting_Curves/meltCurve_P62191_PSMC1.pdf", "Melting_Curves/meltCurve_P62191_PSMC1.pdf")</f>
        <v>Melting_Curves/meltCurve_P62191_PSMC1.pdf</v>
      </c>
    </row>
    <row r="1294" spans="1:28" x14ac:dyDescent="0.25">
      <c r="A1294" t="s">
        <v>1298</v>
      </c>
      <c r="B1294">
        <v>1</v>
      </c>
      <c r="C1294">
        <v>1.0929417813542499</v>
      </c>
      <c r="D1294">
        <v>1.6222065452632299</v>
      </c>
      <c r="E1294">
        <v>2.6507479105137901</v>
      </c>
      <c r="F1294">
        <v>2.7760572979565499</v>
      </c>
      <c r="G1294">
        <v>3.1784104360718901</v>
      </c>
      <c r="H1294">
        <v>1.9812753338993001</v>
      </c>
      <c r="I1294">
        <v>3.2639030047947601</v>
      </c>
      <c r="J1294">
        <v>3.1757798954958001</v>
      </c>
      <c r="K1294">
        <v>2.9698803104037901</v>
      </c>
      <c r="L1294">
        <v>10788.362490564999</v>
      </c>
      <c r="M1294">
        <v>250</v>
      </c>
      <c r="O1294">
        <v>43.150692033411303</v>
      </c>
      <c r="P1294">
        <v>0.72420629129939595</v>
      </c>
      <c r="Q1294">
        <v>1.5</v>
      </c>
      <c r="R1294">
        <v>-1.0360095410018499</v>
      </c>
      <c r="S1294" t="s">
        <v>3168</v>
      </c>
      <c r="T1294" t="s">
        <v>3746</v>
      </c>
      <c r="U1294" t="s">
        <v>3746</v>
      </c>
      <c r="V1294" t="s">
        <v>3746</v>
      </c>
      <c r="W1294" t="s">
        <v>5028</v>
      </c>
      <c r="X1294">
        <v>5</v>
      </c>
      <c r="Y1294" t="s">
        <v>6822</v>
      </c>
      <c r="Z1294" t="s">
        <v>8682</v>
      </c>
      <c r="AA1294">
        <v>1.4474046338057009</v>
      </c>
      <c r="AB1294" t="str">
        <f>HYPERLINK("Melting_Curves/meltCurve_P62195_2_PSMC5.pdf", "Melting_Curves/meltCurve_P62195_2_PSMC5.pdf")</f>
        <v>Melting_Curves/meltCurve_P62195_2_PSMC5.pdf</v>
      </c>
    </row>
    <row r="1295" spans="1:28" x14ac:dyDescent="0.25">
      <c r="A1295" t="s">
        <v>1299</v>
      </c>
      <c r="B1295">
        <v>1</v>
      </c>
      <c r="C1295">
        <v>1.09995904366969</v>
      </c>
      <c r="D1295">
        <v>1.73946654379768</v>
      </c>
      <c r="E1295">
        <v>2.6780320483284701</v>
      </c>
      <c r="F1295">
        <v>2.0542159422515698</v>
      </c>
      <c r="G1295">
        <v>2.3392208058157999</v>
      </c>
      <c r="H1295">
        <v>1.6949777299953901</v>
      </c>
      <c r="I1295">
        <v>2.3238365842420499</v>
      </c>
      <c r="J1295">
        <v>2.5242410280038898</v>
      </c>
      <c r="K1295">
        <v>2.2769927814467801</v>
      </c>
      <c r="L1295">
        <v>10784.4938626236</v>
      </c>
      <c r="M1295">
        <v>250</v>
      </c>
      <c r="O1295">
        <v>43.135214907363498</v>
      </c>
      <c r="P1295">
        <v>0.72446607961937604</v>
      </c>
      <c r="Q1295">
        <v>1.5</v>
      </c>
      <c r="R1295">
        <v>-0.60980738380942401</v>
      </c>
      <c r="S1295" t="s">
        <v>3169</v>
      </c>
      <c r="T1295" t="s">
        <v>3746</v>
      </c>
      <c r="U1295" t="s">
        <v>3746</v>
      </c>
      <c r="V1295" t="s">
        <v>3746</v>
      </c>
      <c r="W1295" t="s">
        <v>5029</v>
      </c>
      <c r="X1295">
        <v>15</v>
      </c>
      <c r="Y1295" t="s">
        <v>6823</v>
      </c>
      <c r="Z1295" t="s">
        <v>8683</v>
      </c>
      <c r="AA1295">
        <v>1.447662555913201</v>
      </c>
      <c r="AB1295" t="str">
        <f>HYPERLINK("Melting_Curves/meltCurve_P62258_YWHAE.pdf", "Melting_Curves/meltCurve_P62258_YWHAE.pdf")</f>
        <v>Melting_Curves/meltCurve_P62258_YWHAE.pdf</v>
      </c>
    </row>
    <row r="1296" spans="1:28" x14ac:dyDescent="0.25">
      <c r="A1296" t="s">
        <v>1300</v>
      </c>
      <c r="B1296">
        <v>1</v>
      </c>
      <c r="C1296">
        <v>1.1690456199272301</v>
      </c>
      <c r="D1296">
        <v>1.5258886090120301</v>
      </c>
      <c r="E1296">
        <v>1.76229125851292</v>
      </c>
      <c r="F1296">
        <v>1.1599029760238799</v>
      </c>
      <c r="G1296">
        <v>1.1741766955872699</v>
      </c>
      <c r="H1296">
        <v>0.73287620113816598</v>
      </c>
      <c r="I1296">
        <v>1.2903255900737001</v>
      </c>
      <c r="J1296">
        <v>1.3245638585688999</v>
      </c>
      <c r="K1296">
        <v>1.23901483347327</v>
      </c>
      <c r="L1296">
        <v>1.0000000000000001E-5</v>
      </c>
      <c r="M1296">
        <v>1.0000000000000001E-5</v>
      </c>
      <c r="Q1296">
        <v>1.4756147933035999</v>
      </c>
      <c r="R1296">
        <v>-1.6191405993737399E-9</v>
      </c>
      <c r="S1296" t="s">
        <v>3170</v>
      </c>
      <c r="T1296" t="s">
        <v>3746</v>
      </c>
      <c r="U1296" t="s">
        <v>3746</v>
      </c>
      <c r="V1296" t="s">
        <v>3746</v>
      </c>
      <c r="W1296" t="s">
        <v>5030</v>
      </c>
      <c r="X1296">
        <v>3</v>
      </c>
      <c r="Y1296" t="s">
        <v>6824</v>
      </c>
      <c r="Z1296" t="s">
        <v>8684</v>
      </c>
      <c r="AA1296">
        <v>1.237808563508654</v>
      </c>
      <c r="AB1296" t="str">
        <f>HYPERLINK("Melting_Curves/meltCurve_P62263_RPS14.pdf", "Melting_Curves/meltCurve_P62263_RPS14.pdf")</f>
        <v>Melting_Curves/meltCurve_P62263_RPS14.pdf</v>
      </c>
    </row>
    <row r="1297" spans="1:28" x14ac:dyDescent="0.25">
      <c r="A1297" t="s">
        <v>1301</v>
      </c>
      <c r="B1297">
        <v>1</v>
      </c>
      <c r="C1297">
        <v>1.0633315593400701</v>
      </c>
      <c r="D1297">
        <v>1.21762462302643</v>
      </c>
      <c r="E1297">
        <v>1.5820471882206799</v>
      </c>
      <c r="F1297">
        <v>0.517473833599432</v>
      </c>
      <c r="G1297">
        <v>0.694518360830229</v>
      </c>
      <c r="H1297">
        <v>0.77403760865708704</v>
      </c>
      <c r="I1297">
        <v>0.71398793684584005</v>
      </c>
      <c r="J1297">
        <v>0.80481639169771202</v>
      </c>
      <c r="K1297">
        <v>0.85227071137129695</v>
      </c>
      <c r="L1297">
        <v>4786.8889522978698</v>
      </c>
      <c r="M1297">
        <v>92.482688890822601</v>
      </c>
      <c r="O1297">
        <v>51.735648921301703</v>
      </c>
      <c r="P1297">
        <v>-0.12095959205002001</v>
      </c>
      <c r="Q1297">
        <v>0.72933647476588703</v>
      </c>
      <c r="R1297">
        <v>0.42977981682432698</v>
      </c>
      <c r="S1297" t="s">
        <v>3171</v>
      </c>
      <c r="T1297" t="s">
        <v>3746</v>
      </c>
      <c r="U1297" t="s">
        <v>3746</v>
      </c>
      <c r="V1297" t="s">
        <v>3746</v>
      </c>
      <c r="W1297" t="s">
        <v>5031</v>
      </c>
      <c r="X1297">
        <v>3</v>
      </c>
      <c r="Y1297" t="s">
        <v>6825</v>
      </c>
      <c r="Z1297" t="s">
        <v>8685</v>
      </c>
      <c r="AA1297">
        <v>0.83561502394655518</v>
      </c>
      <c r="AB1297" t="str">
        <f>HYPERLINK("Melting_Curves/meltCurve_P62328_TMSB4X.pdf", "Melting_Curves/meltCurve_P62328_TMSB4X.pdf")</f>
        <v>Melting_Curves/meltCurve_P62328_TMSB4X.pdf</v>
      </c>
    </row>
    <row r="1298" spans="1:28" x14ac:dyDescent="0.25">
      <c r="A1298" t="s">
        <v>1302</v>
      </c>
      <c r="B1298">
        <v>1</v>
      </c>
      <c r="C1298">
        <v>0.81736140954018</v>
      </c>
      <c r="D1298">
        <v>1.32788998710786</v>
      </c>
      <c r="E1298">
        <v>1.60155963398912</v>
      </c>
      <c r="F1298">
        <v>0.99500036684939297</v>
      </c>
      <c r="G1298">
        <v>1.17884431959919</v>
      </c>
      <c r="H1298">
        <v>0.65429161382288503</v>
      </c>
      <c r="I1298">
        <v>1.13985346987118</v>
      </c>
      <c r="J1298">
        <v>1.2178351693272</v>
      </c>
      <c r="K1298">
        <v>1.12968650099049</v>
      </c>
      <c r="L1298">
        <v>15000</v>
      </c>
      <c r="M1298">
        <v>235.787939882698</v>
      </c>
      <c r="O1298">
        <v>63.611908555300403</v>
      </c>
      <c r="P1298">
        <v>0.161044590619114</v>
      </c>
      <c r="Q1298">
        <v>1.1737892750440799</v>
      </c>
      <c r="R1298">
        <v>-5.2640617415439198E-2</v>
      </c>
      <c r="S1298" t="s">
        <v>3172</v>
      </c>
      <c r="T1298" t="s">
        <v>3746</v>
      </c>
      <c r="U1298" t="s">
        <v>3746</v>
      </c>
      <c r="V1298" t="s">
        <v>3746</v>
      </c>
      <c r="W1298" t="s">
        <v>5032</v>
      </c>
      <c r="X1298">
        <v>1</v>
      </c>
      <c r="Y1298" t="s">
        <v>6826</v>
      </c>
      <c r="Z1298" t="s">
        <v>8686</v>
      </c>
      <c r="AA1298">
        <v>1.036957733716563</v>
      </c>
      <c r="AB1298" t="str">
        <f>HYPERLINK("Melting_Curves/meltCurve_P62330_ARF6.pdf", "Melting_Curves/meltCurve_P62330_ARF6.pdf")</f>
        <v>Melting_Curves/meltCurve_P62330_ARF6.pdf</v>
      </c>
    </row>
    <row r="1299" spans="1:28" x14ac:dyDescent="0.25">
      <c r="A1299" t="s">
        <v>1303</v>
      </c>
      <c r="B1299">
        <v>1</v>
      </c>
      <c r="C1299">
        <v>1.23205955081959</v>
      </c>
      <c r="D1299">
        <v>2.0216942412114101</v>
      </c>
      <c r="E1299">
        <v>3.1916792005506398</v>
      </c>
      <c r="F1299">
        <v>2.7218497463481799</v>
      </c>
      <c r="G1299">
        <v>3.3558518367450998</v>
      </c>
      <c r="H1299">
        <v>2.0901419940347199</v>
      </c>
      <c r="I1299">
        <v>3.3715298136487601</v>
      </c>
      <c r="J1299">
        <v>3.4890509088128101</v>
      </c>
      <c r="K1299">
        <v>3.1929538328192302</v>
      </c>
      <c r="L1299">
        <v>10731.1677270726</v>
      </c>
      <c r="M1299">
        <v>250</v>
      </c>
      <c r="O1299">
        <v>42.921924031819003</v>
      </c>
      <c r="P1299">
        <v>0.72806615161027499</v>
      </c>
      <c r="Q1299">
        <v>1.5</v>
      </c>
      <c r="R1299">
        <v>-1.4381123361578401</v>
      </c>
      <c r="S1299" t="s">
        <v>3173</v>
      </c>
      <c r="T1299" t="s">
        <v>3746</v>
      </c>
      <c r="U1299" t="s">
        <v>3746</v>
      </c>
      <c r="V1299" t="s">
        <v>3746</v>
      </c>
      <c r="W1299" t="s">
        <v>5033</v>
      </c>
      <c r="X1299">
        <v>6</v>
      </c>
      <c r="Y1299" t="s">
        <v>6827</v>
      </c>
      <c r="Z1299" t="s">
        <v>8687</v>
      </c>
      <c r="AA1299">
        <v>1.451217818768717</v>
      </c>
      <c r="AB1299" t="str">
        <f>HYPERLINK("Melting_Curves/meltCurve_P62333_PSMC6.pdf", "Melting_Curves/meltCurve_P62333_PSMC6.pdf")</f>
        <v>Melting_Curves/meltCurve_P62333_PSMC6.pdf</v>
      </c>
    </row>
    <row r="1300" spans="1:28" x14ac:dyDescent="0.25">
      <c r="A1300" t="s">
        <v>1304</v>
      </c>
      <c r="B1300">
        <v>1</v>
      </c>
      <c r="C1300">
        <v>1.02095937770095</v>
      </c>
      <c r="D1300">
        <v>1.5231201382886801</v>
      </c>
      <c r="E1300">
        <v>1.8138144626908701</v>
      </c>
      <c r="F1300">
        <v>1.62352348026505</v>
      </c>
      <c r="G1300">
        <v>2.5010083549409399</v>
      </c>
      <c r="H1300">
        <v>2.0190867185249202</v>
      </c>
      <c r="I1300">
        <v>2.6827283203687702</v>
      </c>
      <c r="J1300">
        <v>2.39361855373091</v>
      </c>
      <c r="K1300">
        <v>2.13857677902622</v>
      </c>
      <c r="L1300">
        <v>10859.241623579501</v>
      </c>
      <c r="M1300">
        <v>250</v>
      </c>
      <c r="O1300">
        <v>43.434167815043203</v>
      </c>
      <c r="P1300">
        <v>0.71947933721092705</v>
      </c>
      <c r="Q1300">
        <v>1.5</v>
      </c>
      <c r="R1300">
        <v>-0.29188996651627203</v>
      </c>
      <c r="S1300" t="s">
        <v>3174</v>
      </c>
      <c r="T1300" t="s">
        <v>3746</v>
      </c>
      <c r="U1300" t="s">
        <v>3746</v>
      </c>
      <c r="V1300" t="s">
        <v>3746</v>
      </c>
      <c r="W1300" t="s">
        <v>5034</v>
      </c>
      <c r="X1300">
        <v>4</v>
      </c>
      <c r="Y1300" t="s">
        <v>6828</v>
      </c>
      <c r="Z1300" t="s">
        <v>8688</v>
      </c>
      <c r="AA1300">
        <v>1.4426791094934861</v>
      </c>
      <c r="AB1300" t="str">
        <f>HYPERLINK("Melting_Curves/meltCurve_P62424_RPL7A.pdf", "Melting_Curves/meltCurve_P62424_RPL7A.pdf")</f>
        <v>Melting_Curves/meltCurve_P62424_RPL7A.pdf</v>
      </c>
    </row>
    <row r="1301" spans="1:28" x14ac:dyDescent="0.25">
      <c r="A1301" t="s">
        <v>1305</v>
      </c>
      <c r="B1301">
        <v>1</v>
      </c>
      <c r="C1301">
        <v>0.95579938281225696</v>
      </c>
      <c r="D1301">
        <v>1.0671944972621401</v>
      </c>
      <c r="E1301">
        <v>1.2692871169851301</v>
      </c>
      <c r="F1301">
        <v>0.91936036906580199</v>
      </c>
      <c r="G1301">
        <v>1.09046891721995</v>
      </c>
      <c r="H1301">
        <v>0.44535186974637098</v>
      </c>
      <c r="I1301">
        <v>1.05545338362271</v>
      </c>
      <c r="J1301">
        <v>1.03074509314963</v>
      </c>
      <c r="K1301">
        <v>0.89889134794218795</v>
      </c>
      <c r="L1301">
        <v>2898.7732232826202</v>
      </c>
      <c r="M1301">
        <v>50.047948521411399</v>
      </c>
      <c r="O1301">
        <v>57.8276571456109</v>
      </c>
      <c r="P1301">
        <v>-2.7592599115622299E-2</v>
      </c>
      <c r="Q1301">
        <v>0.87247314084930205</v>
      </c>
      <c r="R1301">
        <v>0.13924094089345501</v>
      </c>
      <c r="S1301" t="s">
        <v>3175</v>
      </c>
      <c r="T1301" t="s">
        <v>3746</v>
      </c>
      <c r="U1301" t="s">
        <v>3746</v>
      </c>
      <c r="V1301" t="s">
        <v>3746</v>
      </c>
      <c r="W1301" t="s">
        <v>5035</v>
      </c>
      <c r="X1301">
        <v>3</v>
      </c>
      <c r="Y1301" t="s">
        <v>6829</v>
      </c>
      <c r="Z1301" t="s">
        <v>8689</v>
      </c>
      <c r="AA1301">
        <v>0.94897269489560709</v>
      </c>
      <c r="AB1301" t="str">
        <f>HYPERLINK("Melting_Curves/meltCurve_P62701_RPS4X.pdf", "Melting_Curves/meltCurve_P62701_RPS4X.pdf")</f>
        <v>Melting_Curves/meltCurve_P62701_RPS4X.pdf</v>
      </c>
    </row>
    <row r="1302" spans="1:28" x14ac:dyDescent="0.25">
      <c r="A1302" t="s">
        <v>1306</v>
      </c>
      <c r="B1302">
        <v>1</v>
      </c>
      <c r="C1302">
        <v>1.101328762466</v>
      </c>
      <c r="D1302">
        <v>1.7112420670897599</v>
      </c>
      <c r="E1302">
        <v>2.2921860834088799</v>
      </c>
      <c r="F1302">
        <v>1.6763939256572999</v>
      </c>
      <c r="G1302">
        <v>1.8524762012692699</v>
      </c>
      <c r="H1302">
        <v>1.1460363780598399</v>
      </c>
      <c r="I1302">
        <v>1.84057683590209</v>
      </c>
      <c r="J1302">
        <v>1.9268472348141401</v>
      </c>
      <c r="K1302">
        <v>1.69934270172257</v>
      </c>
      <c r="L1302">
        <v>10783.762883999099</v>
      </c>
      <c r="M1302">
        <v>250</v>
      </c>
      <c r="O1302">
        <v>43.132291171079899</v>
      </c>
      <c r="P1302">
        <v>0.72451518763705502</v>
      </c>
      <c r="Q1302">
        <v>1.5</v>
      </c>
      <c r="R1302">
        <v>0.16420004495773499</v>
      </c>
      <c r="S1302" t="s">
        <v>3176</v>
      </c>
      <c r="T1302" t="s">
        <v>3746</v>
      </c>
      <c r="U1302" t="s">
        <v>3746</v>
      </c>
      <c r="V1302" t="s">
        <v>3746</v>
      </c>
      <c r="W1302" t="s">
        <v>5036</v>
      </c>
      <c r="X1302">
        <v>3</v>
      </c>
      <c r="Y1302" t="s">
        <v>6830</v>
      </c>
      <c r="Z1302" t="s">
        <v>8690</v>
      </c>
      <c r="AA1302">
        <v>1.4477112903870759</v>
      </c>
      <c r="AB1302" t="str">
        <f>HYPERLINK("Melting_Curves/meltCurve_P62745_RHOB.pdf", "Melting_Curves/meltCurve_P62745_RHOB.pdf")</f>
        <v>Melting_Curves/meltCurve_P62745_RHOB.pdf</v>
      </c>
    </row>
    <row r="1303" spans="1:28" x14ac:dyDescent="0.25">
      <c r="A1303" t="s">
        <v>1307</v>
      </c>
      <c r="B1303">
        <v>1</v>
      </c>
      <c r="C1303">
        <v>0.77648030965272796</v>
      </c>
      <c r="D1303">
        <v>1.1095309544001599</v>
      </c>
      <c r="E1303">
        <v>1.81066388327136</v>
      </c>
      <c r="F1303">
        <v>1.17633244177702</v>
      </c>
      <c r="G1303">
        <v>2.0792397851566702</v>
      </c>
      <c r="H1303">
        <v>1.6187400787179</v>
      </c>
      <c r="I1303">
        <v>2.27542566377454</v>
      </c>
      <c r="J1303">
        <v>1.8346706677974201</v>
      </c>
      <c r="K1303">
        <v>1.6138039011024901</v>
      </c>
      <c r="L1303">
        <v>11558.4725057711</v>
      </c>
      <c r="M1303">
        <v>250</v>
      </c>
      <c r="O1303">
        <v>46.230921063605599</v>
      </c>
      <c r="P1303">
        <v>0.67595436848299695</v>
      </c>
      <c r="Q1303">
        <v>1.5</v>
      </c>
      <c r="R1303">
        <v>0.39523189061250602</v>
      </c>
      <c r="S1303" t="s">
        <v>3177</v>
      </c>
      <c r="T1303" t="s">
        <v>3746</v>
      </c>
      <c r="U1303" t="s">
        <v>3746</v>
      </c>
      <c r="V1303" t="s">
        <v>3746</v>
      </c>
      <c r="W1303" t="s">
        <v>5037</v>
      </c>
      <c r="X1303">
        <v>2</v>
      </c>
      <c r="Y1303" t="s">
        <v>6831</v>
      </c>
      <c r="Z1303" t="s">
        <v>8691</v>
      </c>
      <c r="AA1303">
        <v>1.396061263069877</v>
      </c>
      <c r="AB1303" t="str">
        <f>HYPERLINK("Melting_Curves/meltCurve_P62753_RPS6.pdf", "Melting_Curves/meltCurve_P62753_RPS6.pdf")</f>
        <v>Melting_Curves/meltCurve_P62753_RPS6.pdf</v>
      </c>
    </row>
    <row r="1304" spans="1:28" x14ac:dyDescent="0.25">
      <c r="A1304" t="s">
        <v>1308</v>
      </c>
      <c r="B1304">
        <v>1</v>
      </c>
      <c r="C1304">
        <v>1.21274540034947</v>
      </c>
      <c r="D1304">
        <v>4.6578271148113899</v>
      </c>
      <c r="E1304">
        <v>4.5846438482886196</v>
      </c>
      <c r="F1304">
        <v>3.3218213588241299</v>
      </c>
      <c r="G1304">
        <v>3.4636653304553402</v>
      </c>
      <c r="H1304">
        <v>2.2162606639942402</v>
      </c>
      <c r="I1304">
        <v>3.0952821461609599</v>
      </c>
      <c r="J1304">
        <v>3.4050776030424501</v>
      </c>
      <c r="K1304">
        <v>3.1614759995888599</v>
      </c>
      <c r="L1304">
        <v>51.460896011898498</v>
      </c>
      <c r="M1304">
        <v>27.791534452858201</v>
      </c>
      <c r="Q1304">
        <v>1.5</v>
      </c>
      <c r="R1304">
        <v>-1.6826517177897</v>
      </c>
      <c r="S1304" t="s">
        <v>3178</v>
      </c>
      <c r="T1304" t="s">
        <v>3746</v>
      </c>
      <c r="U1304" t="s">
        <v>3746</v>
      </c>
      <c r="V1304" t="s">
        <v>3746</v>
      </c>
      <c r="W1304" t="s">
        <v>5038</v>
      </c>
      <c r="X1304">
        <v>6</v>
      </c>
      <c r="Y1304" t="s">
        <v>6832</v>
      </c>
      <c r="Z1304" t="s">
        <v>8692</v>
      </c>
      <c r="AA1304">
        <v>1.499999999998874</v>
      </c>
      <c r="AB1304" t="str">
        <f>HYPERLINK("Melting_Curves/meltCurve_P62805_HIST1H4A.pdf", "Melting_Curves/meltCurve_P62805_HIST1H4A.pdf")</f>
        <v>Melting_Curves/meltCurve_P62805_HIST1H4A.pdf</v>
      </c>
    </row>
    <row r="1305" spans="1:28" x14ac:dyDescent="0.25">
      <c r="A1305" t="s">
        <v>1309</v>
      </c>
      <c r="B1305">
        <v>1</v>
      </c>
      <c r="C1305">
        <v>1.0515471012497899</v>
      </c>
      <c r="D1305">
        <v>1.6244563122832101</v>
      </c>
      <c r="E1305">
        <v>2.19305731432032</v>
      </c>
      <c r="F1305">
        <v>1.4423553377745999</v>
      </c>
      <c r="G1305">
        <v>1.5798601552606899</v>
      </c>
      <c r="H1305">
        <v>1.36235754005396</v>
      </c>
      <c r="I1305">
        <v>1.68942355337775</v>
      </c>
      <c r="J1305">
        <v>1.8748279469250699</v>
      </c>
      <c r="K1305">
        <v>1.7652645488080201</v>
      </c>
      <c r="L1305">
        <v>10817.8054771272</v>
      </c>
      <c r="M1305">
        <v>250</v>
      </c>
      <c r="O1305">
        <v>43.268452449476399</v>
      </c>
      <c r="P1305">
        <v>0.72223520804135999</v>
      </c>
      <c r="Q1305">
        <v>1.5</v>
      </c>
      <c r="R1305">
        <v>0.351005703692506</v>
      </c>
      <c r="S1305" t="s">
        <v>3179</v>
      </c>
      <c r="T1305" t="s">
        <v>3746</v>
      </c>
      <c r="U1305" t="s">
        <v>3746</v>
      </c>
      <c r="V1305" t="s">
        <v>3746</v>
      </c>
      <c r="W1305" t="s">
        <v>5039</v>
      </c>
      <c r="X1305">
        <v>8</v>
      </c>
      <c r="Y1305" t="s">
        <v>6833</v>
      </c>
      <c r="Z1305" t="s">
        <v>8693</v>
      </c>
      <c r="AA1305">
        <v>1.4454416646944559</v>
      </c>
      <c r="AB1305" t="str">
        <f>HYPERLINK("Melting_Curves/meltCurve_P62820_RAB1A.pdf", "Melting_Curves/meltCurve_P62820_RAB1A.pdf")</f>
        <v>Melting_Curves/meltCurve_P62820_RAB1A.pdf</v>
      </c>
    </row>
    <row r="1306" spans="1:28" x14ac:dyDescent="0.25">
      <c r="A1306" t="s">
        <v>1310</v>
      </c>
      <c r="B1306">
        <v>1</v>
      </c>
      <c r="C1306">
        <v>0.95069562409624997</v>
      </c>
      <c r="D1306">
        <v>1.6497030787157301</v>
      </c>
      <c r="E1306">
        <v>2.13544664542124</v>
      </c>
      <c r="F1306">
        <v>1.53907708722326</v>
      </c>
      <c r="G1306">
        <v>1.8691300136176701</v>
      </c>
      <c r="H1306">
        <v>1.0905645014109</v>
      </c>
      <c r="I1306">
        <v>1.9108253428984601</v>
      </c>
      <c r="J1306">
        <v>1.8943999101514799</v>
      </c>
      <c r="K1306">
        <v>1.8016032345467601</v>
      </c>
      <c r="L1306">
        <v>11075.913106125499</v>
      </c>
      <c r="M1306">
        <v>250</v>
      </c>
      <c r="O1306">
        <v>44.300796991288401</v>
      </c>
      <c r="P1306">
        <v>0.70540459182293103</v>
      </c>
      <c r="Q1306">
        <v>1.5</v>
      </c>
      <c r="R1306">
        <v>0.293929139267605</v>
      </c>
      <c r="S1306" t="s">
        <v>3180</v>
      </c>
      <c r="T1306" t="s">
        <v>3746</v>
      </c>
      <c r="U1306" t="s">
        <v>3746</v>
      </c>
      <c r="V1306" t="s">
        <v>3746</v>
      </c>
      <c r="W1306" t="s">
        <v>5040</v>
      </c>
      <c r="X1306">
        <v>6</v>
      </c>
      <c r="Y1306" t="s">
        <v>6834</v>
      </c>
      <c r="Z1306" t="s">
        <v>8694</v>
      </c>
      <c r="AA1306">
        <v>1.428233583481384</v>
      </c>
      <c r="AB1306" t="str">
        <f>HYPERLINK("Melting_Curves/meltCurve_P62834_RAP1A.pdf", "Melting_Curves/meltCurve_P62834_RAP1A.pdf")</f>
        <v>Melting_Curves/meltCurve_P62834_RAP1A.pdf</v>
      </c>
    </row>
    <row r="1307" spans="1:28" x14ac:dyDescent="0.25">
      <c r="A1307" t="s">
        <v>1311</v>
      </c>
      <c r="B1307">
        <v>1</v>
      </c>
      <c r="C1307">
        <v>1.07352699819465</v>
      </c>
      <c r="D1307">
        <v>1.2434761201378599</v>
      </c>
      <c r="E1307">
        <v>1.6148038732972301</v>
      </c>
      <c r="F1307">
        <v>1.22041687182012</v>
      </c>
      <c r="G1307">
        <v>1.37912358444116</v>
      </c>
      <c r="H1307">
        <v>0.877482356802889</v>
      </c>
      <c r="I1307">
        <v>1.39709502708026</v>
      </c>
      <c r="J1307">
        <v>1.3589364844903999</v>
      </c>
      <c r="K1307">
        <v>1.32931232561956</v>
      </c>
      <c r="L1307">
        <v>2039.0134715281599</v>
      </c>
      <c r="M1307">
        <v>46.202969387626702</v>
      </c>
      <c r="O1307">
        <v>44.049219059629301</v>
      </c>
      <c r="P1307">
        <v>8.0856318127037197E-2</v>
      </c>
      <c r="Q1307">
        <v>1.3083484463455199</v>
      </c>
      <c r="R1307">
        <v>0.27959152590312703</v>
      </c>
      <c r="S1307" t="s">
        <v>3181</v>
      </c>
      <c r="T1307" t="s">
        <v>3746</v>
      </c>
      <c r="U1307" t="s">
        <v>3746</v>
      </c>
      <c r="V1307" t="s">
        <v>3746</v>
      </c>
      <c r="W1307" t="s">
        <v>5041</v>
      </c>
      <c r="X1307">
        <v>2</v>
      </c>
      <c r="Y1307" t="s">
        <v>6835</v>
      </c>
      <c r="Z1307" t="s">
        <v>8695</v>
      </c>
      <c r="AA1307">
        <v>1.2651130741546539</v>
      </c>
      <c r="AB1307" t="str">
        <f>HYPERLINK("Melting_Curves/meltCurve_P62851_RPS25.pdf", "Melting_Curves/meltCurve_P62851_RPS25.pdf")</f>
        <v>Melting_Curves/meltCurve_P62851_RPS25.pdf</v>
      </c>
    </row>
    <row r="1308" spans="1:28" x14ac:dyDescent="0.25">
      <c r="A1308" t="s">
        <v>1312</v>
      </c>
      <c r="B1308">
        <v>1</v>
      </c>
      <c r="C1308">
        <v>1.0558543417366899</v>
      </c>
      <c r="D1308">
        <v>1.45114845938375</v>
      </c>
      <c r="E1308">
        <v>1.77042016806723</v>
      </c>
      <c r="F1308">
        <v>1.0212885154061599</v>
      </c>
      <c r="G1308">
        <v>1.3865546218487399</v>
      </c>
      <c r="H1308">
        <v>1.13854341736695</v>
      </c>
      <c r="I1308">
        <v>1.50201680672269</v>
      </c>
      <c r="J1308">
        <v>1.4438095238095201</v>
      </c>
      <c r="K1308">
        <v>1.2476750700280099</v>
      </c>
      <c r="L1308">
        <v>10799.117726336</v>
      </c>
      <c r="M1308">
        <v>250</v>
      </c>
      <c r="O1308">
        <v>43.193706642407498</v>
      </c>
      <c r="P1308">
        <v>0.53564238334397596</v>
      </c>
      <c r="Q1308">
        <v>1.3701820788969299</v>
      </c>
      <c r="R1308">
        <v>0.33201912609088102</v>
      </c>
      <c r="S1308" t="s">
        <v>3182</v>
      </c>
      <c r="T1308" t="s">
        <v>3746</v>
      </c>
      <c r="U1308" t="s">
        <v>3746</v>
      </c>
      <c r="V1308" t="s">
        <v>3746</v>
      </c>
      <c r="W1308" t="s">
        <v>5042</v>
      </c>
      <c r="X1308">
        <v>2</v>
      </c>
      <c r="Y1308" t="s">
        <v>6836</v>
      </c>
      <c r="Z1308" t="s">
        <v>8696</v>
      </c>
      <c r="AA1308">
        <v>1.3307114742144319</v>
      </c>
      <c r="AB1308" t="str">
        <f>HYPERLINK("Melting_Curves/meltCurve_P62854_RPS26.pdf", "Melting_Curves/meltCurve_P62854_RPS26.pdf")</f>
        <v>Melting_Curves/meltCurve_P62854_RPS26.pdf</v>
      </c>
    </row>
    <row r="1309" spans="1:28" x14ac:dyDescent="0.25">
      <c r="A1309" t="s">
        <v>1313</v>
      </c>
      <c r="B1309">
        <v>1</v>
      </c>
      <c r="C1309">
        <v>1.0005732712289499</v>
      </c>
      <c r="D1309">
        <v>1.2460766750268699</v>
      </c>
      <c r="E1309">
        <v>1.4597635256180601</v>
      </c>
      <c r="F1309">
        <v>1.1352203511286301</v>
      </c>
      <c r="G1309">
        <v>1.1770691508419899</v>
      </c>
      <c r="H1309">
        <v>0.67759226083840896</v>
      </c>
      <c r="I1309">
        <v>1.0806162665711201</v>
      </c>
      <c r="J1309">
        <v>1.06535292010032</v>
      </c>
      <c r="K1309">
        <v>1.00007165890362</v>
      </c>
      <c r="L1309">
        <v>10940.921833128699</v>
      </c>
      <c r="M1309">
        <v>250</v>
      </c>
      <c r="O1309">
        <v>43.760887115535603</v>
      </c>
      <c r="P1309">
        <v>0.150277233860413</v>
      </c>
      <c r="Q1309">
        <v>1.10522024006219</v>
      </c>
      <c r="R1309">
        <v>4.8223060462096103E-2</v>
      </c>
      <c r="S1309" t="s">
        <v>3183</v>
      </c>
      <c r="T1309" t="s">
        <v>3746</v>
      </c>
      <c r="U1309" t="s">
        <v>3746</v>
      </c>
      <c r="V1309" t="s">
        <v>3746</v>
      </c>
      <c r="W1309" t="s">
        <v>5043</v>
      </c>
      <c r="X1309">
        <v>2</v>
      </c>
      <c r="Y1309" t="s">
        <v>6837</v>
      </c>
      <c r="Z1309" t="s">
        <v>8697</v>
      </c>
      <c r="AA1309">
        <v>1.0920116225091661</v>
      </c>
      <c r="AB1309" t="str">
        <f>HYPERLINK("Melting_Curves/meltCurve_P62857_RPS28.pdf", "Melting_Curves/meltCurve_P62857_RPS28.pdf")</f>
        <v>Melting_Curves/meltCurve_P62857_RPS28.pdf</v>
      </c>
    </row>
    <row r="1310" spans="1:28" x14ac:dyDescent="0.25">
      <c r="A1310" t="s">
        <v>1314</v>
      </c>
      <c r="B1310">
        <v>1</v>
      </c>
      <c r="C1310">
        <v>1.03127603180613</v>
      </c>
      <c r="D1310">
        <v>1.5463839454752</v>
      </c>
      <c r="E1310">
        <v>2.08198914552568</v>
      </c>
      <c r="F1310">
        <v>1.27623374984223</v>
      </c>
      <c r="G1310">
        <v>1.2398081534772201</v>
      </c>
      <c r="H1310">
        <v>1.3853338381925999</v>
      </c>
      <c r="I1310">
        <v>1.8123942950902401</v>
      </c>
      <c r="J1310">
        <v>2.2733308090369801</v>
      </c>
      <c r="K1310">
        <v>2.0624510917581702</v>
      </c>
      <c r="L1310">
        <v>10841.1366017946</v>
      </c>
      <c r="M1310">
        <v>250</v>
      </c>
      <c r="O1310">
        <v>43.3617723764334</v>
      </c>
      <c r="P1310">
        <v>0.72068089133525903</v>
      </c>
      <c r="Q1310">
        <v>1.5</v>
      </c>
      <c r="R1310">
        <v>0.22037209427429999</v>
      </c>
      <c r="S1310" t="s">
        <v>3184</v>
      </c>
      <c r="T1310" t="s">
        <v>3746</v>
      </c>
      <c r="U1310" t="s">
        <v>3746</v>
      </c>
      <c r="V1310" t="s">
        <v>3746</v>
      </c>
      <c r="W1310" t="s">
        <v>5044</v>
      </c>
      <c r="X1310">
        <v>6</v>
      </c>
      <c r="Y1310" t="s">
        <v>6838</v>
      </c>
      <c r="Z1310" t="s">
        <v>8698</v>
      </c>
      <c r="AA1310">
        <v>1.443886174493213</v>
      </c>
      <c r="AB1310" t="str">
        <f>HYPERLINK("Melting_Curves/meltCurve_P62873_GNB1.pdf", "Melting_Curves/meltCurve_P62873_GNB1.pdf")</f>
        <v>Melting_Curves/meltCurve_P62873_GNB1.pdf</v>
      </c>
    </row>
    <row r="1311" spans="1:28" x14ac:dyDescent="0.25">
      <c r="A1311" t="s">
        <v>1315</v>
      </c>
      <c r="B1311">
        <v>1</v>
      </c>
      <c r="C1311">
        <v>0.94805225318359099</v>
      </c>
      <c r="D1311">
        <v>1.3997697476622299</v>
      </c>
      <c r="E1311">
        <v>1.5803768619895699</v>
      </c>
      <c r="F1311">
        <v>1.1565245994079201</v>
      </c>
      <c r="G1311">
        <v>1.23993233400686</v>
      </c>
      <c r="H1311">
        <v>0.83675579155114899</v>
      </c>
      <c r="I1311">
        <v>1.56346036370471</v>
      </c>
      <c r="J1311">
        <v>1.5229782435035999</v>
      </c>
      <c r="K1311">
        <v>1.2649781495230501</v>
      </c>
      <c r="L1311">
        <v>11090.9756072006</v>
      </c>
      <c r="M1311">
        <v>250</v>
      </c>
      <c r="O1311">
        <v>44.361058567645998</v>
      </c>
      <c r="P1311">
        <v>0.45120351462393499</v>
      </c>
      <c r="Q1311">
        <v>1.3202538834220501</v>
      </c>
      <c r="R1311">
        <v>0.29915506514813001</v>
      </c>
      <c r="S1311" t="s">
        <v>3185</v>
      </c>
      <c r="T1311" t="s">
        <v>3746</v>
      </c>
      <c r="U1311" t="s">
        <v>3746</v>
      </c>
      <c r="V1311" t="s">
        <v>3746</v>
      </c>
      <c r="W1311" t="s">
        <v>5045</v>
      </c>
      <c r="X1311">
        <v>5</v>
      </c>
      <c r="Y1311" t="s">
        <v>6839</v>
      </c>
      <c r="Z1311" t="s">
        <v>8699</v>
      </c>
      <c r="AA1311">
        <v>1.273643725785248</v>
      </c>
      <c r="AB1311" t="str">
        <f>HYPERLINK("Melting_Curves/meltCurve_P62879_GNB2.pdf", "Melting_Curves/meltCurve_P62879_GNB2.pdf")</f>
        <v>Melting_Curves/meltCurve_P62879_GNB2.pdf</v>
      </c>
    </row>
    <row r="1312" spans="1:28" x14ac:dyDescent="0.25">
      <c r="A1312" t="s">
        <v>1316</v>
      </c>
      <c r="B1312">
        <v>1</v>
      </c>
      <c r="C1312">
        <v>1.0759202052463499</v>
      </c>
      <c r="D1312">
        <v>1.56929682182313</v>
      </c>
      <c r="E1312">
        <v>1.8784229540813699</v>
      </c>
      <c r="F1312">
        <v>1.91439342373946</v>
      </c>
      <c r="G1312">
        <v>2.8810408921933099</v>
      </c>
      <c r="H1312">
        <v>2.3004869364888201</v>
      </c>
      <c r="I1312">
        <v>3.0102623173988201</v>
      </c>
      <c r="J1312">
        <v>2.8068485261008398</v>
      </c>
      <c r="K1312">
        <v>2.7016074140007298</v>
      </c>
      <c r="L1312">
        <v>10798.798165326099</v>
      </c>
      <c r="M1312">
        <v>250</v>
      </c>
      <c r="O1312">
        <v>43.1924284843506</v>
      </c>
      <c r="P1312">
        <v>0.72350643744976295</v>
      </c>
      <c r="Q1312">
        <v>1.5</v>
      </c>
      <c r="R1312">
        <v>-0.67266146576270303</v>
      </c>
      <c r="S1312" t="s">
        <v>3186</v>
      </c>
      <c r="T1312" t="s">
        <v>3746</v>
      </c>
      <c r="U1312" t="s">
        <v>3746</v>
      </c>
      <c r="V1312" t="s">
        <v>3746</v>
      </c>
      <c r="W1312" t="s">
        <v>5046</v>
      </c>
      <c r="X1312">
        <v>3</v>
      </c>
      <c r="Y1312" t="s">
        <v>6840</v>
      </c>
      <c r="Z1312" t="s">
        <v>8700</v>
      </c>
      <c r="AA1312">
        <v>1.446708885527626</v>
      </c>
      <c r="AB1312" t="str">
        <f>HYPERLINK("Melting_Curves/meltCurve_P62906_RPL10A.pdf", "Melting_Curves/meltCurve_P62906_RPL10A.pdf")</f>
        <v>Melting_Curves/meltCurve_P62906_RPL10A.pdf</v>
      </c>
    </row>
    <row r="1313" spans="1:28" x14ac:dyDescent="0.25">
      <c r="A1313" t="s">
        <v>1317</v>
      </c>
      <c r="B1313">
        <v>1</v>
      </c>
      <c r="C1313">
        <v>0.95365507112182502</v>
      </c>
      <c r="D1313">
        <v>1.5000239467424401</v>
      </c>
      <c r="E1313">
        <v>2.0083334663707899</v>
      </c>
      <c r="F1313">
        <v>1.23624259646546</v>
      </c>
      <c r="G1313">
        <v>1.9586838870352301</v>
      </c>
      <c r="H1313">
        <v>1.5536167563339101</v>
      </c>
      <c r="I1313">
        <v>3.1783713022238498</v>
      </c>
      <c r="J1313">
        <v>1.49716630214403</v>
      </c>
      <c r="K1313">
        <v>2.3804658439630302</v>
      </c>
      <c r="L1313">
        <v>11194.453529582001</v>
      </c>
      <c r="M1313">
        <v>250</v>
      </c>
      <c r="O1313">
        <v>44.774949443990501</v>
      </c>
      <c r="P1313">
        <v>0.69793491648778205</v>
      </c>
      <c r="Q1313">
        <v>1.5</v>
      </c>
      <c r="R1313">
        <v>7.8247036115930407E-3</v>
      </c>
      <c r="S1313" t="s">
        <v>3187</v>
      </c>
      <c r="T1313" t="s">
        <v>3746</v>
      </c>
      <c r="U1313" t="s">
        <v>3746</v>
      </c>
      <c r="V1313" t="s">
        <v>3746</v>
      </c>
      <c r="W1313" t="s">
        <v>5047</v>
      </c>
      <c r="X1313">
        <v>10</v>
      </c>
      <c r="Y1313" t="s">
        <v>6841</v>
      </c>
      <c r="Z1313" t="s">
        <v>8701</v>
      </c>
      <c r="AA1313">
        <v>1.420330472511093</v>
      </c>
      <c r="AB1313" t="str">
        <f>HYPERLINK("Melting_Curves/meltCurve_P62937_PPIA.pdf", "Melting_Curves/meltCurve_P62937_PPIA.pdf")</f>
        <v>Melting_Curves/meltCurve_P62937_PPIA.pdf</v>
      </c>
    </row>
    <row r="1314" spans="1:28" x14ac:dyDescent="0.25">
      <c r="A1314" t="s">
        <v>1318</v>
      </c>
      <c r="B1314">
        <v>1</v>
      </c>
      <c r="C1314">
        <v>1.0906788940596801</v>
      </c>
      <c r="D1314">
        <v>1.49185600875992</v>
      </c>
      <c r="E1314">
        <v>2.0954010402408998</v>
      </c>
      <c r="F1314">
        <v>1.8609362168081001</v>
      </c>
      <c r="G1314">
        <v>2.2613605255953999</v>
      </c>
      <c r="H1314">
        <v>1.474883657268</v>
      </c>
      <c r="I1314">
        <v>2.35922529427868</v>
      </c>
      <c r="J1314">
        <v>2.1841637010676198</v>
      </c>
      <c r="K1314">
        <v>2.1183958390364102</v>
      </c>
      <c r="L1314">
        <v>3745.5503878315999</v>
      </c>
      <c r="M1314">
        <v>85.800549377962696</v>
      </c>
      <c r="O1314">
        <v>43.6304559397067</v>
      </c>
      <c r="P1314">
        <v>0.24581612803470401</v>
      </c>
      <c r="Q1314">
        <v>1.5</v>
      </c>
      <c r="R1314">
        <v>-0.20143128835239399</v>
      </c>
      <c r="S1314" t="s">
        <v>3188</v>
      </c>
      <c r="T1314" t="s">
        <v>3746</v>
      </c>
      <c r="U1314" t="s">
        <v>3746</v>
      </c>
      <c r="V1314" t="s">
        <v>3746</v>
      </c>
      <c r="W1314" t="s">
        <v>5048</v>
      </c>
      <c r="X1314">
        <v>2</v>
      </c>
      <c r="Y1314" t="s">
        <v>6842</v>
      </c>
      <c r="Z1314" t="s">
        <v>8702</v>
      </c>
      <c r="AA1314">
        <v>1.438768931210725</v>
      </c>
      <c r="AB1314" t="str">
        <f>HYPERLINK("Melting_Curves/meltCurve_P62942_FKBP1A.pdf", "Melting_Curves/meltCurve_P62942_FKBP1A.pdf")</f>
        <v>Melting_Curves/meltCurve_P62942_FKBP1A.pdf</v>
      </c>
    </row>
    <row r="1315" spans="1:28" x14ac:dyDescent="0.25">
      <c r="A1315" t="s">
        <v>1319</v>
      </c>
      <c r="B1315">
        <v>1</v>
      </c>
      <c r="C1315">
        <v>0.99545151312996505</v>
      </c>
      <c r="D1315">
        <v>1.2171750864212501</v>
      </c>
      <c r="E1315">
        <v>1.4534538176966501</v>
      </c>
      <c r="F1315">
        <v>1.1924009946024601</v>
      </c>
      <c r="G1315">
        <v>0.98062344593365303</v>
      </c>
      <c r="H1315">
        <v>0.65531566498878002</v>
      </c>
      <c r="I1315">
        <v>0.85184062102007396</v>
      </c>
      <c r="J1315">
        <v>0.97580204985141605</v>
      </c>
      <c r="K1315">
        <v>0.91424586087694804</v>
      </c>
      <c r="L1315">
        <v>14359.0722327393</v>
      </c>
      <c r="M1315">
        <v>250</v>
      </c>
      <c r="O1315">
        <v>57.432613325036698</v>
      </c>
      <c r="P1315">
        <v>-0.16399536990250299</v>
      </c>
      <c r="Q1315">
        <v>0.84930107734035698</v>
      </c>
      <c r="R1315">
        <v>0.197621276814895</v>
      </c>
      <c r="S1315" t="s">
        <v>3189</v>
      </c>
      <c r="T1315" t="s">
        <v>3746</v>
      </c>
      <c r="U1315" t="s">
        <v>3746</v>
      </c>
      <c r="V1315" t="s">
        <v>3746</v>
      </c>
      <c r="W1315" t="s">
        <v>5049</v>
      </c>
      <c r="X1315">
        <v>6</v>
      </c>
      <c r="Y1315" t="s">
        <v>6843</v>
      </c>
      <c r="Z1315" t="s">
        <v>8703</v>
      </c>
      <c r="AA1315">
        <v>0.93690393299650909</v>
      </c>
      <c r="AB1315" t="str">
        <f>HYPERLINK("Melting_Curves/meltCurve_P62979_RPS27A.pdf", "Melting_Curves/meltCurve_P62979_RPS27A.pdf")</f>
        <v>Melting_Curves/meltCurve_P62979_RPS27A.pdf</v>
      </c>
    </row>
    <row r="1316" spans="1:28" x14ac:dyDescent="0.25">
      <c r="A1316" t="s">
        <v>1320</v>
      </c>
      <c r="B1316">
        <v>1</v>
      </c>
      <c r="C1316">
        <v>1.2905063833433299</v>
      </c>
      <c r="D1316">
        <v>1.5900522663010901</v>
      </c>
      <c r="E1316">
        <v>2.00496958272642</v>
      </c>
      <c r="F1316">
        <v>1.92708422585897</v>
      </c>
      <c r="G1316">
        <v>2.0523519835489701</v>
      </c>
      <c r="H1316">
        <v>1.17689144032217</v>
      </c>
      <c r="I1316">
        <v>2.03337331848171</v>
      </c>
      <c r="J1316">
        <v>1.6984405792134301</v>
      </c>
      <c r="K1316">
        <v>1.66853740039414</v>
      </c>
      <c r="L1316">
        <v>10710.9746008523</v>
      </c>
      <c r="M1316">
        <v>250</v>
      </c>
      <c r="O1316">
        <v>42.841153446464297</v>
      </c>
      <c r="P1316">
        <v>0.72943875602264496</v>
      </c>
      <c r="Q1316">
        <v>1.5</v>
      </c>
      <c r="R1316">
        <v>6.6419867337407304E-2</v>
      </c>
      <c r="S1316" t="s">
        <v>3190</v>
      </c>
      <c r="T1316" t="s">
        <v>3746</v>
      </c>
      <c r="U1316" t="s">
        <v>3746</v>
      </c>
      <c r="V1316" t="s">
        <v>3746</v>
      </c>
      <c r="W1316" t="s">
        <v>5050</v>
      </c>
      <c r="X1316">
        <v>3</v>
      </c>
      <c r="Y1316" t="s">
        <v>6844</v>
      </c>
      <c r="Z1316" t="s">
        <v>8704</v>
      </c>
      <c r="AA1316">
        <v>1.452564098041899</v>
      </c>
      <c r="AB1316" t="str">
        <f>HYPERLINK("Melting_Curves/meltCurve_P62993_GRB2.pdf", "Melting_Curves/meltCurve_P62993_GRB2.pdf")</f>
        <v>Melting_Curves/meltCurve_P62993_GRB2.pdf</v>
      </c>
    </row>
    <row r="1317" spans="1:28" x14ac:dyDescent="0.25">
      <c r="A1317" t="s">
        <v>1321</v>
      </c>
      <c r="B1317">
        <v>1</v>
      </c>
      <c r="C1317">
        <v>1.15229256872065</v>
      </c>
      <c r="D1317">
        <v>1.50825776060251</v>
      </c>
      <c r="E1317">
        <v>1.8574672439812101</v>
      </c>
      <c r="F1317">
        <v>1.20542149133323</v>
      </c>
      <c r="G1317">
        <v>1.7222120361620801</v>
      </c>
      <c r="H1317">
        <v>1.1248748289917201</v>
      </c>
      <c r="I1317">
        <v>1.87142998180613</v>
      </c>
      <c r="J1317">
        <v>1.7419573219750899</v>
      </c>
      <c r="K1317">
        <v>1.6267294754805901</v>
      </c>
      <c r="L1317">
        <v>10760.416434593</v>
      </c>
      <c r="M1317">
        <v>250</v>
      </c>
      <c r="O1317">
        <v>43.038934991753401</v>
      </c>
      <c r="P1317">
        <v>0.72608713612832199</v>
      </c>
      <c r="Q1317">
        <v>1.5</v>
      </c>
      <c r="R1317">
        <v>0.37305868196494801</v>
      </c>
      <c r="S1317" t="s">
        <v>3191</v>
      </c>
      <c r="T1317" t="s">
        <v>3746</v>
      </c>
      <c r="U1317" t="s">
        <v>3746</v>
      </c>
      <c r="V1317" t="s">
        <v>3746</v>
      </c>
      <c r="W1317" t="s">
        <v>5051</v>
      </c>
      <c r="X1317">
        <v>8</v>
      </c>
      <c r="Y1317" t="s">
        <v>6845</v>
      </c>
      <c r="Z1317" t="s">
        <v>8705</v>
      </c>
      <c r="AA1317">
        <v>1.449267802286746</v>
      </c>
      <c r="AB1317" t="str">
        <f>HYPERLINK("Melting_Curves/meltCurve_P63000_RAC1.pdf", "Melting_Curves/meltCurve_P63000_RAC1.pdf")</f>
        <v>Melting_Curves/meltCurve_P63000_RAC1.pdf</v>
      </c>
    </row>
    <row r="1318" spans="1:28" x14ac:dyDescent="0.25">
      <c r="A1318" t="s">
        <v>1322</v>
      </c>
      <c r="B1318">
        <v>1</v>
      </c>
      <c r="C1318">
        <v>0.97389483132620203</v>
      </c>
      <c r="D1318">
        <v>1.3172264193283001</v>
      </c>
      <c r="E1318">
        <v>1.7420899094921101</v>
      </c>
      <c r="F1318">
        <v>1.2785548657341601</v>
      </c>
      <c r="G1318">
        <v>1.3520083775899501</v>
      </c>
      <c r="H1318">
        <v>0.77462787044655501</v>
      </c>
      <c r="I1318">
        <v>1.3104944274066901</v>
      </c>
      <c r="J1318">
        <v>1.3966639240032901</v>
      </c>
      <c r="K1318">
        <v>1.3116164260602901</v>
      </c>
      <c r="L1318">
        <v>11130.1153093349</v>
      </c>
      <c r="M1318">
        <v>250</v>
      </c>
      <c r="O1318">
        <v>44.517631678443301</v>
      </c>
      <c r="P1318">
        <v>0.43581373539901602</v>
      </c>
      <c r="Q1318">
        <v>1.31042219054585</v>
      </c>
      <c r="R1318">
        <v>0.25647012781067502</v>
      </c>
      <c r="S1318" t="s">
        <v>3192</v>
      </c>
      <c r="T1318" t="s">
        <v>3746</v>
      </c>
      <c r="U1318" t="s">
        <v>3746</v>
      </c>
      <c r="V1318" t="s">
        <v>3746</v>
      </c>
      <c r="W1318" t="s">
        <v>5052</v>
      </c>
      <c r="X1318">
        <v>4</v>
      </c>
      <c r="Y1318" t="s">
        <v>6846</v>
      </c>
      <c r="Z1318" t="s">
        <v>8706</v>
      </c>
      <c r="AA1318">
        <v>1.26362288709773</v>
      </c>
      <c r="AB1318" t="str">
        <f>HYPERLINK("Melting_Curves/meltCurve_P63092_3_GNAS.pdf", "Melting_Curves/meltCurve_P63092_3_GNAS.pdf")</f>
        <v>Melting_Curves/meltCurve_P63092_3_GNAS.pdf</v>
      </c>
    </row>
    <row r="1319" spans="1:28" x14ac:dyDescent="0.25">
      <c r="A1319" t="s">
        <v>1323</v>
      </c>
      <c r="B1319">
        <v>1</v>
      </c>
      <c r="C1319">
        <v>1.0580125759688499</v>
      </c>
      <c r="D1319">
        <v>1.72943250282828</v>
      </c>
      <c r="E1319">
        <v>2.7277750006577399</v>
      </c>
      <c r="F1319">
        <v>2.0209160988187</v>
      </c>
      <c r="G1319">
        <v>2.0174432371280502</v>
      </c>
      <c r="H1319">
        <v>1.9401720645110401</v>
      </c>
      <c r="I1319">
        <v>2.3443131889815598</v>
      </c>
      <c r="J1319">
        <v>2.6375332158173102</v>
      </c>
      <c r="K1319">
        <v>2.4053250545923301</v>
      </c>
      <c r="L1319">
        <v>1.0000000000000001E-5</v>
      </c>
      <c r="M1319">
        <v>27.485086094159801</v>
      </c>
      <c r="Q1319">
        <v>1.5</v>
      </c>
      <c r="R1319">
        <v>-0.74859992234307104</v>
      </c>
      <c r="S1319" t="s">
        <v>3193</v>
      </c>
      <c r="T1319" t="s">
        <v>3746</v>
      </c>
      <c r="U1319" t="s">
        <v>3746</v>
      </c>
      <c r="V1319" t="s">
        <v>3746</v>
      </c>
      <c r="W1319" t="s">
        <v>5053</v>
      </c>
      <c r="X1319">
        <v>14</v>
      </c>
      <c r="Y1319" t="s">
        <v>6847</v>
      </c>
      <c r="Z1319" t="s">
        <v>8707</v>
      </c>
      <c r="AA1319">
        <v>1.499999999999422</v>
      </c>
      <c r="AB1319" t="str">
        <f>HYPERLINK("Melting_Curves/meltCurve_P63104_YWHAZ.pdf", "Melting_Curves/meltCurve_P63104_YWHAZ.pdf")</f>
        <v>Melting_Curves/meltCurve_P63104_YWHAZ.pdf</v>
      </c>
    </row>
    <row r="1320" spans="1:28" x14ac:dyDescent="0.25">
      <c r="A1320" t="s">
        <v>1324</v>
      </c>
      <c r="B1320">
        <v>1</v>
      </c>
      <c r="C1320">
        <v>1.0937330155942999</v>
      </c>
      <c r="D1320">
        <v>1.8237593544880599</v>
      </c>
      <c r="E1320">
        <v>2.31803169028806</v>
      </c>
      <c r="F1320">
        <v>1.17649149211924</v>
      </c>
      <c r="G1320">
        <v>1.1583678247418401</v>
      </c>
      <c r="H1320">
        <v>1.5340315230569801</v>
      </c>
      <c r="I1320">
        <v>1.4666583051130899</v>
      </c>
      <c r="J1320">
        <v>1.5185208411722899</v>
      </c>
      <c r="K1320">
        <v>2.1386763660688199</v>
      </c>
      <c r="L1320">
        <v>10787.915215253601</v>
      </c>
      <c r="M1320">
        <v>250</v>
      </c>
      <c r="O1320">
        <v>43.1488997996316</v>
      </c>
      <c r="P1320">
        <v>0.72423631753046303</v>
      </c>
      <c r="Q1320">
        <v>1.5</v>
      </c>
      <c r="R1320">
        <v>0.225717673510342</v>
      </c>
      <c r="S1320" t="s">
        <v>3194</v>
      </c>
      <c r="T1320" t="s">
        <v>3746</v>
      </c>
      <c r="U1320" t="s">
        <v>3746</v>
      </c>
      <c r="V1320" t="s">
        <v>3746</v>
      </c>
      <c r="W1320" t="s">
        <v>5054</v>
      </c>
      <c r="X1320">
        <v>1</v>
      </c>
      <c r="Y1320" t="s">
        <v>6848</v>
      </c>
      <c r="Z1320" t="s">
        <v>8708</v>
      </c>
      <c r="AA1320">
        <v>1.4474344537296411</v>
      </c>
      <c r="AB1320" t="str">
        <f>HYPERLINK("Melting_Curves/meltCurve_P63218_GNG5.pdf", "Melting_Curves/meltCurve_P63218_GNG5.pdf")</f>
        <v>Melting_Curves/meltCurve_P63218_GNG5.pdf</v>
      </c>
    </row>
    <row r="1321" spans="1:28" x14ac:dyDescent="0.25">
      <c r="A1321" t="s">
        <v>1325</v>
      </c>
      <c r="B1321">
        <v>1</v>
      </c>
      <c r="C1321">
        <v>1.06658555987085</v>
      </c>
      <c r="D1321">
        <v>1.52126713770998</v>
      </c>
      <c r="E1321">
        <v>1.9907819007065699</v>
      </c>
      <c r="F1321">
        <v>1.66964578166674</v>
      </c>
      <c r="G1321">
        <v>1.6125590753825301</v>
      </c>
      <c r="H1321">
        <v>1.2686818585934201</v>
      </c>
      <c r="I1321">
        <v>1.99223246455477</v>
      </c>
      <c r="J1321">
        <v>2.08502175845772</v>
      </c>
      <c r="K1321">
        <v>1.81395348837209</v>
      </c>
      <c r="L1321">
        <v>10805.360531627801</v>
      </c>
      <c r="M1321">
        <v>250</v>
      </c>
      <c r="O1321">
        <v>43.218676251027397</v>
      </c>
      <c r="P1321">
        <v>0.72306703385464199</v>
      </c>
      <c r="Q1321">
        <v>1.5</v>
      </c>
      <c r="R1321">
        <v>0.24659866473967401</v>
      </c>
      <c r="S1321" t="s">
        <v>3195</v>
      </c>
      <c r="T1321" t="s">
        <v>3746</v>
      </c>
      <c r="U1321" t="s">
        <v>3746</v>
      </c>
      <c r="V1321" t="s">
        <v>3746</v>
      </c>
      <c r="W1321" t="s">
        <v>5055</v>
      </c>
      <c r="X1321">
        <v>4</v>
      </c>
      <c r="Y1321" t="s">
        <v>6849</v>
      </c>
      <c r="Z1321" t="s">
        <v>8709</v>
      </c>
      <c r="AA1321">
        <v>1.4462713714079349</v>
      </c>
      <c r="AB1321" t="str">
        <f>HYPERLINK("Melting_Curves/meltCurve_P63244_GNB2L1.pdf", "Melting_Curves/meltCurve_P63244_GNB2L1.pdf")</f>
        <v>Melting_Curves/meltCurve_P63244_GNB2L1.pdf</v>
      </c>
    </row>
    <row r="1322" spans="1:28" x14ac:dyDescent="0.25">
      <c r="A1322" t="s">
        <v>1326</v>
      </c>
      <c r="B1322">
        <v>1</v>
      </c>
      <c r="C1322">
        <v>0.98432010967354999</v>
      </c>
      <c r="D1322">
        <v>1.47175049267415</v>
      </c>
      <c r="E1322">
        <v>2.1837031959557902</v>
      </c>
      <c r="F1322">
        <v>1.9439636706366199</v>
      </c>
      <c r="G1322">
        <v>2.5065547082512198</v>
      </c>
      <c r="H1322">
        <v>1.95098963242224</v>
      </c>
      <c r="I1322">
        <v>2.8487704566875198</v>
      </c>
      <c r="J1322">
        <v>3.0986205123811201</v>
      </c>
      <c r="K1322">
        <v>2.9702681861023099</v>
      </c>
      <c r="L1322">
        <v>11370.4929425684</v>
      </c>
      <c r="M1322">
        <v>250</v>
      </c>
      <c r="O1322">
        <v>45.479061730510303</v>
      </c>
      <c r="P1322">
        <v>0.687129399647187</v>
      </c>
      <c r="Q1322">
        <v>1.5</v>
      </c>
      <c r="R1322">
        <v>-0.56366425265696996</v>
      </c>
      <c r="S1322" t="s">
        <v>3196</v>
      </c>
      <c r="T1322" t="s">
        <v>3746</v>
      </c>
      <c r="U1322" t="s">
        <v>3746</v>
      </c>
      <c r="V1322" t="s">
        <v>3746</v>
      </c>
      <c r="W1322" t="s">
        <v>5056</v>
      </c>
      <c r="X1322">
        <v>17</v>
      </c>
      <c r="Y1322" t="s">
        <v>6850</v>
      </c>
      <c r="Z1322" t="s">
        <v>8710</v>
      </c>
      <c r="AA1322">
        <v>1.408593893752478</v>
      </c>
      <c r="AB1322" t="str">
        <f>HYPERLINK("Melting_Curves/meltCurve_P63261_ACTG1.pdf", "Melting_Curves/meltCurve_P63261_ACTG1.pdf")</f>
        <v>Melting_Curves/meltCurve_P63261_ACTG1.pdf</v>
      </c>
    </row>
    <row r="1323" spans="1:28" x14ac:dyDescent="0.25">
      <c r="A1323" t="s">
        <v>1327</v>
      </c>
      <c r="B1323">
        <v>1</v>
      </c>
      <c r="C1323">
        <v>0.88068216673823696</v>
      </c>
      <c r="D1323">
        <v>1.29519661370468</v>
      </c>
      <c r="E1323">
        <v>1.8035703331084001</v>
      </c>
      <c r="F1323">
        <v>1.76970737991534</v>
      </c>
      <c r="G1323">
        <v>2.6920434329182301</v>
      </c>
      <c r="H1323">
        <v>1.6548064535917999</v>
      </c>
      <c r="I1323">
        <v>2.1539782835408898</v>
      </c>
      <c r="J1323">
        <v>2.4767805656094701</v>
      </c>
      <c r="K1323">
        <v>2.6390405496595299</v>
      </c>
      <c r="L1323">
        <v>11483.182808658599</v>
      </c>
      <c r="M1323">
        <v>250</v>
      </c>
      <c r="O1323">
        <v>45.929792544759103</v>
      </c>
      <c r="P1323">
        <v>0.68038627613028302</v>
      </c>
      <c r="Q1323">
        <v>1.5</v>
      </c>
      <c r="R1323">
        <v>-0.12308033119003201</v>
      </c>
      <c r="S1323" t="s">
        <v>3197</v>
      </c>
      <c r="T1323" t="s">
        <v>3746</v>
      </c>
      <c r="U1323" t="s">
        <v>3746</v>
      </c>
      <c r="V1323" t="s">
        <v>3746</v>
      </c>
      <c r="W1323" t="s">
        <v>5057</v>
      </c>
      <c r="X1323">
        <v>12</v>
      </c>
      <c r="Y1323" t="s">
        <v>6851</v>
      </c>
      <c r="Z1323" t="s">
        <v>8711</v>
      </c>
      <c r="AA1323">
        <v>1.401080840475204</v>
      </c>
      <c r="AB1323" t="str">
        <f>HYPERLINK("Melting_Curves/meltCurve_P63267_ACTG2.pdf", "Melting_Curves/meltCurve_P63267_ACTG2.pdf")</f>
        <v>Melting_Curves/meltCurve_P63267_ACTG2.pdf</v>
      </c>
    </row>
    <row r="1324" spans="1:28" x14ac:dyDescent="0.25">
      <c r="A1324" t="s">
        <v>1328</v>
      </c>
      <c r="B1324">
        <v>1</v>
      </c>
      <c r="C1324">
        <v>1.02260034448562</v>
      </c>
      <c r="D1324">
        <v>1.2047862623310199</v>
      </c>
      <c r="E1324">
        <v>1.53330027663239</v>
      </c>
      <c r="F1324">
        <v>0.96382900986481501</v>
      </c>
      <c r="G1324">
        <v>1.06433007985803</v>
      </c>
      <c r="H1324">
        <v>0.754214729370009</v>
      </c>
      <c r="I1324">
        <v>1.03523148389791</v>
      </c>
      <c r="J1324">
        <v>1.07842267341719</v>
      </c>
      <c r="K1324">
        <v>1.0054804530507899</v>
      </c>
      <c r="L1324">
        <v>1553.5458780382</v>
      </c>
      <c r="M1324">
        <v>22.562873152162901</v>
      </c>
      <c r="O1324">
        <v>68.320061831464699</v>
      </c>
      <c r="P1324">
        <v>3.6305005035688E-3</v>
      </c>
      <c r="Q1324">
        <v>1.0439715250178701</v>
      </c>
      <c r="R1324">
        <v>-0.119881704337137</v>
      </c>
      <c r="S1324" t="s">
        <v>3198</v>
      </c>
      <c r="T1324" t="s">
        <v>3746</v>
      </c>
      <c r="U1324" t="s">
        <v>3746</v>
      </c>
      <c r="V1324" t="s">
        <v>3746</v>
      </c>
      <c r="W1324" t="s">
        <v>5058</v>
      </c>
      <c r="X1324">
        <v>11</v>
      </c>
      <c r="Y1324" t="s">
        <v>6852</v>
      </c>
      <c r="Z1324" t="s">
        <v>8712</v>
      </c>
      <c r="AA1324">
        <v>1.003731862381078</v>
      </c>
      <c r="AB1324" t="str">
        <f>HYPERLINK("Melting_Curves/meltCurve_P67936_TPM4.pdf", "Melting_Curves/meltCurve_P67936_TPM4.pdf")</f>
        <v>Melting_Curves/meltCurve_P67936_TPM4.pdf</v>
      </c>
    </row>
    <row r="1325" spans="1:28" x14ac:dyDescent="0.25">
      <c r="A1325" t="s">
        <v>1329</v>
      </c>
      <c r="B1325">
        <v>1</v>
      </c>
      <c r="C1325">
        <v>1.16908648836402</v>
      </c>
      <c r="D1325">
        <v>1.46231330323029</v>
      </c>
      <c r="E1325">
        <v>1.7087183049670001</v>
      </c>
      <c r="F1325">
        <v>1.2491142757902001</v>
      </c>
      <c r="G1325">
        <v>1.0293157346300801</v>
      </c>
      <c r="H1325">
        <v>0.65385897881208699</v>
      </c>
      <c r="I1325">
        <v>1.10725946509205</v>
      </c>
      <c r="J1325">
        <v>1.1357415769364401</v>
      </c>
      <c r="K1325">
        <v>0.99458145189301805</v>
      </c>
      <c r="L1325">
        <v>10297.537440091701</v>
      </c>
      <c r="M1325">
        <v>250</v>
      </c>
      <c r="O1325">
        <v>41.187507411150698</v>
      </c>
      <c r="P1325">
        <v>0.25459397189642102</v>
      </c>
      <c r="Q1325">
        <v>1.16777748382261</v>
      </c>
      <c r="R1325">
        <v>3.4738018060774499E-2</v>
      </c>
      <c r="S1325" t="s">
        <v>3199</v>
      </c>
      <c r="T1325" t="s">
        <v>3746</v>
      </c>
      <c r="U1325" t="s">
        <v>3746</v>
      </c>
      <c r="V1325" t="s">
        <v>3746</v>
      </c>
      <c r="W1325" t="s">
        <v>5059</v>
      </c>
      <c r="X1325">
        <v>10</v>
      </c>
      <c r="Y1325" t="s">
        <v>6852</v>
      </c>
      <c r="Z1325" t="s">
        <v>8713</v>
      </c>
      <c r="AA1325">
        <v>1.1611088373893479</v>
      </c>
      <c r="AB1325" t="str">
        <f>HYPERLINK("Melting_Curves/meltCurve_P67936_2_TPM4.pdf", "Melting_Curves/meltCurve_P67936_2_TPM4.pdf")</f>
        <v>Melting_Curves/meltCurve_P67936_2_TPM4.pdf</v>
      </c>
    </row>
    <row r="1326" spans="1:28" x14ac:dyDescent="0.25">
      <c r="A1326" t="s">
        <v>1330</v>
      </c>
      <c r="B1326">
        <v>1</v>
      </c>
      <c r="C1326">
        <v>1.04750601878539</v>
      </c>
      <c r="D1326">
        <v>1.45946220880947</v>
      </c>
      <c r="E1326">
        <v>1.7287986165270799</v>
      </c>
      <c r="F1326">
        <v>1.0667661320402799</v>
      </c>
      <c r="G1326">
        <v>1.3060933844223701</v>
      </c>
      <c r="H1326">
        <v>0.60136990946390401</v>
      </c>
      <c r="I1326">
        <v>1.23566511817165</v>
      </c>
      <c r="J1326">
        <v>1.2649961005052399</v>
      </c>
      <c r="K1326">
        <v>1.2236953646875299</v>
      </c>
      <c r="L1326">
        <v>10784.0921188333</v>
      </c>
      <c r="M1326">
        <v>250</v>
      </c>
      <c r="O1326">
        <v>43.133608027247902</v>
      </c>
      <c r="P1326">
        <v>0.341751855097507</v>
      </c>
      <c r="Q1326">
        <v>1.23585584872551</v>
      </c>
      <c r="R1326">
        <v>9.1022193832413403E-2</v>
      </c>
      <c r="S1326" t="s">
        <v>3200</v>
      </c>
      <c r="T1326" t="s">
        <v>3746</v>
      </c>
      <c r="U1326" t="s">
        <v>3746</v>
      </c>
      <c r="V1326" t="s">
        <v>3746</v>
      </c>
      <c r="W1326" t="s">
        <v>5060</v>
      </c>
      <c r="X1326">
        <v>2</v>
      </c>
      <c r="Y1326" t="s">
        <v>6853</v>
      </c>
      <c r="Z1326" t="s">
        <v>8714</v>
      </c>
      <c r="AA1326">
        <v>1.2111802986165581</v>
      </c>
      <c r="AB1326" t="str">
        <f>HYPERLINK("Melting_Curves/meltCurve_P68036_2_UBE2L3.pdf", "Melting_Curves/meltCurve_P68036_2_UBE2L3.pdf")</f>
        <v>Melting_Curves/meltCurve_P68036_2_UBE2L3.pdf</v>
      </c>
    </row>
    <row r="1327" spans="1:28" x14ac:dyDescent="0.25">
      <c r="A1327" t="s">
        <v>1331</v>
      </c>
      <c r="B1327">
        <v>1</v>
      </c>
      <c r="C1327">
        <v>0.99369053580370603</v>
      </c>
      <c r="D1327">
        <v>1.39556000667668</v>
      </c>
      <c r="E1327">
        <v>1.8062093139709601</v>
      </c>
      <c r="F1327">
        <v>1.35703555332999</v>
      </c>
      <c r="G1327">
        <v>1.5171757636454699</v>
      </c>
      <c r="H1327">
        <v>1.0777165748622901</v>
      </c>
      <c r="I1327">
        <v>1.7298280754465001</v>
      </c>
      <c r="J1327">
        <v>1.8246369554331501</v>
      </c>
      <c r="K1327">
        <v>1.7132699048572899</v>
      </c>
      <c r="L1327">
        <v>11438.742269045901</v>
      </c>
      <c r="M1327">
        <v>250</v>
      </c>
      <c r="O1327">
        <v>45.752041083504302</v>
      </c>
      <c r="P1327">
        <v>0.68302963783673198</v>
      </c>
      <c r="Q1327">
        <v>1.5</v>
      </c>
      <c r="R1327">
        <v>0.49308559609611202</v>
      </c>
      <c r="S1327" t="s">
        <v>3201</v>
      </c>
      <c r="T1327" t="s">
        <v>3746</v>
      </c>
      <c r="U1327" t="s">
        <v>3746</v>
      </c>
      <c r="V1327" t="s">
        <v>3746</v>
      </c>
      <c r="W1327" t="s">
        <v>5061</v>
      </c>
      <c r="X1327">
        <v>7</v>
      </c>
      <c r="Y1327" t="s">
        <v>6854</v>
      </c>
      <c r="Z1327" t="s">
        <v>8715</v>
      </c>
      <c r="AA1327">
        <v>1.4040436991009579</v>
      </c>
      <c r="AB1327" t="str">
        <f>HYPERLINK("Melting_Curves/meltCurve_P68371_TUBB4B.pdf", "Melting_Curves/meltCurve_P68371_TUBB4B.pdf")</f>
        <v>Melting_Curves/meltCurve_P68371_TUBB4B.pdf</v>
      </c>
    </row>
    <row r="1328" spans="1:28" x14ac:dyDescent="0.25">
      <c r="A1328" t="s">
        <v>1332</v>
      </c>
      <c r="B1328">
        <v>1</v>
      </c>
      <c r="C1328">
        <v>0.92355459094471604</v>
      </c>
      <c r="D1328">
        <v>1.0827756676915701</v>
      </c>
      <c r="E1328">
        <v>1.19774522216193</v>
      </c>
      <c r="F1328">
        <v>0.95375896786640102</v>
      </c>
      <c r="G1328">
        <v>1.0510640863326699</v>
      </c>
      <c r="H1328">
        <v>0.52315668897329204</v>
      </c>
      <c r="I1328">
        <v>0.86019171640441305</v>
      </c>
      <c r="J1328">
        <v>0.86477361789353102</v>
      </c>
      <c r="K1328">
        <v>0.80804244287695204</v>
      </c>
      <c r="L1328">
        <v>14688.779235190499</v>
      </c>
      <c r="M1328">
        <v>250</v>
      </c>
      <c r="O1328">
        <v>58.751357013398199</v>
      </c>
      <c r="P1328">
        <v>-0.25100798560627802</v>
      </c>
      <c r="Q1328">
        <v>0.76404704390926803</v>
      </c>
      <c r="R1328">
        <v>0.55376096910873296</v>
      </c>
      <c r="S1328" t="s">
        <v>3202</v>
      </c>
      <c r="T1328" t="s">
        <v>3746</v>
      </c>
      <c r="U1328" t="s">
        <v>3746</v>
      </c>
      <c r="V1328" t="s">
        <v>3746</v>
      </c>
      <c r="W1328" t="s">
        <v>5062</v>
      </c>
      <c r="X1328">
        <v>9</v>
      </c>
      <c r="Y1328" t="s">
        <v>6855</v>
      </c>
      <c r="Z1328" t="s">
        <v>8716</v>
      </c>
      <c r="AA1328">
        <v>0.91158221683690155</v>
      </c>
      <c r="AB1328" t="str">
        <f>HYPERLINK("Melting_Curves/meltCurve_P68871_HBB.pdf", "Melting_Curves/meltCurve_P68871_HBB.pdf")</f>
        <v>Melting_Curves/meltCurve_P68871_HBB.pdf</v>
      </c>
    </row>
    <row r="1329" spans="1:28" x14ac:dyDescent="0.25">
      <c r="A1329" t="s">
        <v>1333</v>
      </c>
      <c r="B1329">
        <v>1</v>
      </c>
      <c r="C1329">
        <v>0.87902017044237901</v>
      </c>
      <c r="D1329">
        <v>1.1441694145861001</v>
      </c>
      <c r="E1329">
        <v>1.32681683867929</v>
      </c>
      <c r="F1329">
        <v>0.96302085563787398</v>
      </c>
      <c r="G1329">
        <v>1.0418825746220699</v>
      </c>
      <c r="H1329">
        <v>0.72784891439338795</v>
      </c>
      <c r="I1329">
        <v>0.94571966939317398</v>
      </c>
      <c r="J1329">
        <v>0.90328037343154499</v>
      </c>
      <c r="K1329">
        <v>0.86278960215836598</v>
      </c>
      <c r="L1329">
        <v>14701.0705605603</v>
      </c>
      <c r="M1329">
        <v>250</v>
      </c>
      <c r="O1329">
        <v>58.800518972248398</v>
      </c>
      <c r="P1329">
        <v>-0.14890044399603999</v>
      </c>
      <c r="Q1329">
        <v>0.85991322560647498</v>
      </c>
      <c r="R1329">
        <v>0.30151801640299197</v>
      </c>
      <c r="S1329" t="s">
        <v>3203</v>
      </c>
      <c r="T1329" t="s">
        <v>3746</v>
      </c>
      <c r="U1329" t="s">
        <v>3746</v>
      </c>
      <c r="V1329" t="s">
        <v>3746</v>
      </c>
      <c r="W1329" t="s">
        <v>5063</v>
      </c>
      <c r="X1329">
        <v>4</v>
      </c>
      <c r="Y1329" t="s">
        <v>6856</v>
      </c>
      <c r="Z1329" t="s">
        <v>8717</v>
      </c>
      <c r="AA1329">
        <v>0.94773539078236424</v>
      </c>
      <c r="AB1329" t="str">
        <f>HYPERLINK("Melting_Curves/meltCurve_P69905_HBA1.pdf", "Melting_Curves/meltCurve_P69905_HBA1.pdf")</f>
        <v>Melting_Curves/meltCurve_P69905_HBA1.pdf</v>
      </c>
    </row>
    <row r="1330" spans="1:28" x14ac:dyDescent="0.25">
      <c r="A1330" t="s">
        <v>1334</v>
      </c>
      <c r="B1330">
        <v>1</v>
      </c>
      <c r="C1330">
        <v>1.1282122202665299</v>
      </c>
      <c r="D1330">
        <v>1.4010560724163901</v>
      </c>
      <c r="E1330">
        <v>1.7095800854915799</v>
      </c>
      <c r="F1330">
        <v>0.95945436258486305</v>
      </c>
      <c r="G1330">
        <v>0.85569524767412597</v>
      </c>
      <c r="H1330">
        <v>0.81440784510937902</v>
      </c>
      <c r="I1330">
        <v>0.91927332159919495</v>
      </c>
      <c r="J1330">
        <v>1.0847246668343</v>
      </c>
      <c r="K1330">
        <v>1.0367865225044</v>
      </c>
      <c r="L1330">
        <v>10249.205584380001</v>
      </c>
      <c r="M1330">
        <v>250</v>
      </c>
      <c r="O1330">
        <v>40.994198858575501</v>
      </c>
      <c r="P1330">
        <v>0.15401757166687499</v>
      </c>
      <c r="Q1330">
        <v>1.1010212311388501</v>
      </c>
      <c r="R1330">
        <v>1.3706629694188101E-2</v>
      </c>
      <c r="S1330" t="s">
        <v>3204</v>
      </c>
      <c r="T1330" t="s">
        <v>3746</v>
      </c>
      <c r="U1330" t="s">
        <v>3746</v>
      </c>
      <c r="V1330" t="s">
        <v>3746</v>
      </c>
      <c r="W1330" t="s">
        <v>5064</v>
      </c>
      <c r="X1330">
        <v>11</v>
      </c>
      <c r="Y1330" t="s">
        <v>6857</v>
      </c>
      <c r="Z1330" t="s">
        <v>8718</v>
      </c>
      <c r="AA1330">
        <v>1.097656262636262</v>
      </c>
      <c r="AB1330" t="str">
        <f>HYPERLINK("Melting_Curves/meltCurve_P78324_SIRPA.pdf", "Melting_Curves/meltCurve_P78324_SIRPA.pdf")</f>
        <v>Melting_Curves/meltCurve_P78324_SIRPA.pdf</v>
      </c>
    </row>
    <row r="1331" spans="1:28" x14ac:dyDescent="0.25">
      <c r="A1331" t="s">
        <v>1335</v>
      </c>
      <c r="B1331">
        <v>1</v>
      </c>
      <c r="C1331">
        <v>1.1399833902371499</v>
      </c>
      <c r="D1331">
        <v>1.80391252191566</v>
      </c>
      <c r="E1331">
        <v>2.7242779366983498</v>
      </c>
      <c r="F1331">
        <v>2.0164252099289501</v>
      </c>
      <c r="G1331">
        <v>2.25440620097813</v>
      </c>
      <c r="H1331">
        <v>2.1666512872566202</v>
      </c>
      <c r="I1331">
        <v>3.0511211589923399</v>
      </c>
      <c r="J1331">
        <v>3.4233643997416299</v>
      </c>
      <c r="K1331">
        <v>3.28444218879764</v>
      </c>
      <c r="S1331" t="s">
        <v>3205</v>
      </c>
      <c r="T1331" t="s">
        <v>3746</v>
      </c>
      <c r="U1331" t="s">
        <v>3747</v>
      </c>
      <c r="V1331" t="s">
        <v>3746</v>
      </c>
      <c r="W1331" t="s">
        <v>5065</v>
      </c>
      <c r="X1331">
        <v>8</v>
      </c>
      <c r="Y1331" t="s">
        <v>6858</v>
      </c>
      <c r="Z1331" t="s">
        <v>8719</v>
      </c>
      <c r="AB1331" t="str">
        <f>HYPERLINK("Melting_Curves/meltCurve_P78371_2_CCT2.pdf", "Melting_Curves/meltCurve_P78371_2_CCT2.pdf")</f>
        <v>Melting_Curves/meltCurve_P78371_2_CCT2.pdf</v>
      </c>
    </row>
    <row r="1332" spans="1:28" x14ac:dyDescent="0.25">
      <c r="A1332" t="s">
        <v>1336</v>
      </c>
      <c r="B1332">
        <v>1</v>
      </c>
      <c r="C1332">
        <v>0.97139875810397003</v>
      </c>
      <c r="D1332">
        <v>1.6174241776287701</v>
      </c>
      <c r="E1332">
        <v>1.9788227646726799</v>
      </c>
      <c r="F1332">
        <v>1.02872098393746</v>
      </c>
      <c r="G1332">
        <v>1.09098684548145</v>
      </c>
      <c r="H1332">
        <v>1.10602302468397</v>
      </c>
      <c r="I1332">
        <v>1.11348124326451</v>
      </c>
      <c r="J1332">
        <v>1.1586582048957399</v>
      </c>
      <c r="K1332">
        <v>1.14403256983527</v>
      </c>
      <c r="L1332">
        <v>11045.772955894199</v>
      </c>
      <c r="M1332">
        <v>250</v>
      </c>
      <c r="O1332">
        <v>44.180264194582598</v>
      </c>
      <c r="P1332">
        <v>0.39559432752085899</v>
      </c>
      <c r="Q1332">
        <v>1.27963939142467</v>
      </c>
      <c r="R1332">
        <v>0.14814914666489101</v>
      </c>
      <c r="S1332" t="s">
        <v>3206</v>
      </c>
      <c r="T1332" t="s">
        <v>3746</v>
      </c>
      <c r="U1332" t="s">
        <v>3746</v>
      </c>
      <c r="V1332" t="s">
        <v>3746</v>
      </c>
      <c r="W1332" t="s">
        <v>5066</v>
      </c>
      <c r="X1332">
        <v>3</v>
      </c>
      <c r="Y1332" t="s">
        <v>6859</v>
      </c>
      <c r="Z1332" t="s">
        <v>8720</v>
      </c>
      <c r="AA1332">
        <v>1.2406257996137471</v>
      </c>
      <c r="AB1332" t="str">
        <f>HYPERLINK("Melting_Curves/meltCurve_P78410_3_BTN3A2.pdf", "Melting_Curves/meltCurve_P78410_3_BTN3A2.pdf")</f>
        <v>Melting_Curves/meltCurve_P78410_3_BTN3A2.pdf</v>
      </c>
    </row>
    <row r="1333" spans="1:28" x14ac:dyDescent="0.25">
      <c r="A1333" t="s">
        <v>1337</v>
      </c>
      <c r="B1333">
        <v>1</v>
      </c>
      <c r="C1333">
        <v>1.2711098820058999</v>
      </c>
      <c r="D1333">
        <v>1.8594518190757101</v>
      </c>
      <c r="E1333">
        <v>2.5033185840707999</v>
      </c>
      <c r="F1333">
        <v>1.63667649950836</v>
      </c>
      <c r="G1333">
        <v>1.5464294493608699</v>
      </c>
      <c r="H1333">
        <v>1.2268006391347099</v>
      </c>
      <c r="I1333">
        <v>1.58892576204523</v>
      </c>
      <c r="J1333">
        <v>1.69982177974435</v>
      </c>
      <c r="K1333">
        <v>1.7601708456243901</v>
      </c>
      <c r="L1333">
        <v>1.0000000000000001E-5</v>
      </c>
      <c r="M1333">
        <v>20.706954423195501</v>
      </c>
      <c r="Q1333">
        <v>1.5</v>
      </c>
      <c r="R1333">
        <v>-7.8047514961492995E-2</v>
      </c>
      <c r="S1333" t="s">
        <v>3207</v>
      </c>
      <c r="T1333" t="s">
        <v>3746</v>
      </c>
      <c r="U1333" t="s">
        <v>3746</v>
      </c>
      <c r="V1333" t="s">
        <v>3746</v>
      </c>
      <c r="W1333" t="s">
        <v>5067</v>
      </c>
      <c r="X1333">
        <v>5</v>
      </c>
      <c r="Y1333" t="s">
        <v>6860</v>
      </c>
      <c r="Z1333" t="s">
        <v>8721</v>
      </c>
      <c r="AA1333">
        <v>1.499999999491777</v>
      </c>
      <c r="AB1333" t="str">
        <f>HYPERLINK("Melting_Curves/meltCurve_P78417_GSTO1.pdf", "Melting_Curves/meltCurve_P78417_GSTO1.pdf")</f>
        <v>Melting_Curves/meltCurve_P78417_GSTO1.pdf</v>
      </c>
    </row>
    <row r="1334" spans="1:28" x14ac:dyDescent="0.25">
      <c r="A1334" t="s">
        <v>1338</v>
      </c>
      <c r="B1334">
        <v>1</v>
      </c>
      <c r="C1334">
        <v>1.1150004786368399</v>
      </c>
      <c r="D1334">
        <v>1.71342416796962</v>
      </c>
      <c r="E1334">
        <v>2.3288235106416901</v>
      </c>
      <c r="F1334">
        <v>1.54985800440346</v>
      </c>
      <c r="G1334">
        <v>1.25278407096589</v>
      </c>
      <c r="H1334">
        <v>1.17036280672644</v>
      </c>
      <c r="I1334">
        <v>1.5712690258144799</v>
      </c>
      <c r="J1334">
        <v>1.58052267143176</v>
      </c>
      <c r="K1334">
        <v>1.55601646510737</v>
      </c>
      <c r="L1334">
        <v>10776.8362378775</v>
      </c>
      <c r="M1334">
        <v>250</v>
      </c>
      <c r="O1334">
        <v>43.104586380389797</v>
      </c>
      <c r="P1334">
        <v>0.72498085865624196</v>
      </c>
      <c r="Q1334">
        <v>1.5</v>
      </c>
      <c r="R1334">
        <v>0.30082358104482598</v>
      </c>
      <c r="S1334" t="s">
        <v>3208</v>
      </c>
      <c r="T1334" t="s">
        <v>3746</v>
      </c>
      <c r="U1334" t="s">
        <v>3746</v>
      </c>
      <c r="V1334" t="s">
        <v>3746</v>
      </c>
      <c r="W1334" t="s">
        <v>5068</v>
      </c>
      <c r="X1334">
        <v>1</v>
      </c>
      <c r="Y1334" t="s">
        <v>6861</v>
      </c>
      <c r="Z1334" t="s">
        <v>8722</v>
      </c>
      <c r="AA1334">
        <v>1.448173091106054</v>
      </c>
      <c r="AB1334" t="str">
        <f>HYPERLINK("Melting_Curves/meltCurve_P80108_GPLD1.pdf", "Melting_Curves/meltCurve_P80108_GPLD1.pdf")</f>
        <v>Melting_Curves/meltCurve_P80108_GPLD1.pdf</v>
      </c>
    </row>
    <row r="1335" spans="1:28" x14ac:dyDescent="0.25">
      <c r="A1335" t="s">
        <v>1339</v>
      </c>
      <c r="B1335">
        <v>1</v>
      </c>
      <c r="C1335">
        <v>0.98261462416908096</v>
      </c>
      <c r="D1335">
        <v>1.19186409863076</v>
      </c>
      <c r="E1335">
        <v>1.3534742344185</v>
      </c>
      <c r="F1335">
        <v>0.93469121072666295</v>
      </c>
      <c r="G1335">
        <v>1.0374694619623901</v>
      </c>
      <c r="H1335">
        <v>0.59638656894494602</v>
      </c>
      <c r="I1335">
        <v>0.925686040565877</v>
      </c>
      <c r="J1335">
        <v>0.96571217544457699</v>
      </c>
      <c r="K1335">
        <v>0.86424066814385503</v>
      </c>
      <c r="L1335">
        <v>5946.3339113898801</v>
      </c>
      <c r="M1335">
        <v>101.76405113318</v>
      </c>
      <c r="O1335">
        <v>58.410003907596199</v>
      </c>
      <c r="P1335">
        <v>-7.0052677659203005E-2</v>
      </c>
      <c r="Q1335">
        <v>0.839166113681722</v>
      </c>
      <c r="R1335">
        <v>0.28484147010620497</v>
      </c>
      <c r="S1335" t="s">
        <v>3209</v>
      </c>
      <c r="T1335" t="s">
        <v>3746</v>
      </c>
      <c r="U1335" t="s">
        <v>3746</v>
      </c>
      <c r="V1335" t="s">
        <v>3746</v>
      </c>
      <c r="W1335" t="s">
        <v>5069</v>
      </c>
      <c r="X1335">
        <v>29</v>
      </c>
      <c r="Y1335" t="s">
        <v>6862</v>
      </c>
      <c r="Z1335" t="s">
        <v>8723</v>
      </c>
      <c r="AA1335">
        <v>0.93808510054775651</v>
      </c>
      <c r="AB1335" t="str">
        <f>HYPERLINK("Melting_Curves/meltCurve_P80303_2_NUCB2.pdf", "Melting_Curves/meltCurve_P80303_2_NUCB2.pdf")</f>
        <v>Melting_Curves/meltCurve_P80303_2_NUCB2.pdf</v>
      </c>
    </row>
    <row r="1336" spans="1:28" x14ac:dyDescent="0.25">
      <c r="A1336" t="s">
        <v>1340</v>
      </c>
      <c r="B1336">
        <v>1</v>
      </c>
      <c r="C1336">
        <v>1.1222162546994201</v>
      </c>
      <c r="D1336">
        <v>1.76610918901365</v>
      </c>
      <c r="E1336">
        <v>2.2539749946916801</v>
      </c>
      <c r="F1336">
        <v>1.5766334011965599</v>
      </c>
      <c r="G1336">
        <v>1.8710265665788199</v>
      </c>
      <c r="H1336">
        <v>1.15611455978417</v>
      </c>
      <c r="I1336">
        <v>1.6944156476774499</v>
      </c>
      <c r="J1336">
        <v>1.6162272210634101</v>
      </c>
      <c r="K1336">
        <v>1.6053607783870201</v>
      </c>
      <c r="L1336">
        <v>10773.413845417799</v>
      </c>
      <c r="M1336">
        <v>250</v>
      </c>
      <c r="O1336">
        <v>43.090897715427602</v>
      </c>
      <c r="P1336">
        <v>0.72521116346580805</v>
      </c>
      <c r="Q1336">
        <v>1.5</v>
      </c>
      <c r="R1336">
        <v>0.26584283509576101</v>
      </c>
      <c r="S1336" t="s">
        <v>3210</v>
      </c>
      <c r="T1336" t="s">
        <v>3746</v>
      </c>
      <c r="U1336" t="s">
        <v>3746</v>
      </c>
      <c r="V1336" t="s">
        <v>3746</v>
      </c>
      <c r="W1336" t="s">
        <v>5070</v>
      </c>
      <c r="X1336">
        <v>3</v>
      </c>
      <c r="Z1336" t="s">
        <v>8724</v>
      </c>
      <c r="AA1336">
        <v>1.448401262615048</v>
      </c>
      <c r="AB1336" t="str">
        <f>HYPERLINK("Melting_Curves/meltCurve_P80748_.pdf", "Melting_Curves/meltCurve_P80748_.pdf")</f>
        <v>Melting_Curves/meltCurve_P80748_.pdf</v>
      </c>
    </row>
    <row r="1337" spans="1:28" x14ac:dyDescent="0.25">
      <c r="A1337" t="s">
        <v>1341</v>
      </c>
      <c r="B1337">
        <v>1</v>
      </c>
      <c r="C1337">
        <v>0.93429390967914105</v>
      </c>
      <c r="D1337">
        <v>0.98542458808618505</v>
      </c>
      <c r="E1337">
        <v>1.1685011006604</v>
      </c>
      <c r="F1337">
        <v>0.76225735441264797</v>
      </c>
      <c r="G1337">
        <v>1.1693349342939101</v>
      </c>
      <c r="H1337">
        <v>0.56797411780401597</v>
      </c>
      <c r="I1337">
        <v>1.09979320925889</v>
      </c>
      <c r="J1337">
        <v>0.73093856313788297</v>
      </c>
      <c r="K1337">
        <v>0.98535788139550395</v>
      </c>
      <c r="L1337">
        <v>2621.63245992461</v>
      </c>
      <c r="M1337">
        <v>44.707083275177297</v>
      </c>
      <c r="O1337">
        <v>58.523239660837802</v>
      </c>
      <c r="P1337">
        <v>-2.6165968463235802E-2</v>
      </c>
      <c r="Q1337">
        <v>0.86299127069738701</v>
      </c>
      <c r="R1337">
        <v>0.10385940914793799</v>
      </c>
      <c r="S1337" t="s">
        <v>3211</v>
      </c>
      <c r="T1337" t="s">
        <v>3746</v>
      </c>
      <c r="U1337" t="s">
        <v>3746</v>
      </c>
      <c r="V1337" t="s">
        <v>3746</v>
      </c>
      <c r="W1337" t="s">
        <v>5071</v>
      </c>
      <c r="X1337">
        <v>5</v>
      </c>
      <c r="Y1337" t="s">
        <v>6863</v>
      </c>
      <c r="Z1337" t="s">
        <v>8725</v>
      </c>
      <c r="AA1337">
        <v>0.9485578141090244</v>
      </c>
      <c r="AB1337" t="str">
        <f>HYPERLINK("Melting_Curves/meltCurve_P81605_DCD.pdf", "Melting_Curves/meltCurve_P81605_DCD.pdf")</f>
        <v>Melting_Curves/meltCurve_P81605_DCD.pdf</v>
      </c>
    </row>
    <row r="1338" spans="1:28" x14ac:dyDescent="0.25">
      <c r="A1338" t="s">
        <v>1342</v>
      </c>
      <c r="B1338">
        <v>1</v>
      </c>
      <c r="C1338">
        <v>0.95330696144034899</v>
      </c>
      <c r="D1338">
        <v>1.62734297016526</v>
      </c>
      <c r="E1338">
        <v>2.2092868497911202</v>
      </c>
      <c r="F1338">
        <v>1.6236459758216599</v>
      </c>
      <c r="G1338">
        <v>1.94705904099967</v>
      </c>
      <c r="H1338">
        <v>1.4585382084365399</v>
      </c>
      <c r="I1338">
        <v>2.2489925690413699</v>
      </c>
      <c r="J1338">
        <v>2.4247476801360501</v>
      </c>
      <c r="K1338">
        <v>2.1489149321601499</v>
      </c>
      <c r="L1338">
        <v>11078.353779412901</v>
      </c>
      <c r="M1338">
        <v>250</v>
      </c>
      <c r="O1338">
        <v>44.310579365803299</v>
      </c>
      <c r="P1338">
        <v>0.70524918637760203</v>
      </c>
      <c r="Q1338">
        <v>1.5</v>
      </c>
      <c r="R1338">
        <v>-6.2392638364266999E-2</v>
      </c>
      <c r="S1338" t="s">
        <v>3212</v>
      </c>
      <c r="T1338" t="s">
        <v>3746</v>
      </c>
      <c r="U1338" t="s">
        <v>3746</v>
      </c>
      <c r="V1338" t="s">
        <v>3746</v>
      </c>
      <c r="W1338" t="s">
        <v>5072</v>
      </c>
      <c r="X1338">
        <v>5</v>
      </c>
      <c r="Y1338" t="s">
        <v>6864</v>
      </c>
      <c r="Z1338" t="s">
        <v>8726</v>
      </c>
      <c r="AA1338">
        <v>1.4280708633622039</v>
      </c>
      <c r="AB1338" t="str">
        <f>HYPERLINK("Melting_Curves/meltCurve_P84077_ARF1.pdf", "Melting_Curves/meltCurve_P84077_ARF1.pdf")</f>
        <v>Melting_Curves/meltCurve_P84077_ARF1.pdf</v>
      </c>
    </row>
    <row r="1339" spans="1:28" x14ac:dyDescent="0.25">
      <c r="A1339" t="s">
        <v>1343</v>
      </c>
      <c r="B1339">
        <v>1</v>
      </c>
      <c r="C1339">
        <v>1.08403680166935</v>
      </c>
      <c r="D1339">
        <v>1.5709949729678501</v>
      </c>
      <c r="E1339">
        <v>2.1821113535047001</v>
      </c>
      <c r="F1339">
        <v>1.1559328464384</v>
      </c>
      <c r="G1339">
        <v>0.97220904865787705</v>
      </c>
      <c r="H1339">
        <v>1.2063928673053199</v>
      </c>
      <c r="I1339">
        <v>1.2929906098833299</v>
      </c>
      <c r="J1339">
        <v>1.5527838376173799</v>
      </c>
      <c r="K1339">
        <v>1.5238546903158501</v>
      </c>
      <c r="L1339">
        <v>10785.973594155699</v>
      </c>
      <c r="M1339">
        <v>250</v>
      </c>
      <c r="O1339">
        <v>43.1411460858113</v>
      </c>
      <c r="P1339">
        <v>0.62608285114935303</v>
      </c>
      <c r="Q1339">
        <v>1.43215878142232</v>
      </c>
      <c r="R1339">
        <v>0.20420022294909301</v>
      </c>
      <c r="S1339" t="s">
        <v>3213</v>
      </c>
      <c r="T1339" t="s">
        <v>3746</v>
      </c>
      <c r="U1339" t="s">
        <v>3746</v>
      </c>
      <c r="V1339" t="s">
        <v>3746</v>
      </c>
      <c r="W1339" t="s">
        <v>5073</v>
      </c>
      <c r="X1339">
        <v>5</v>
      </c>
      <c r="Y1339" t="s">
        <v>6865</v>
      </c>
      <c r="Z1339" t="s">
        <v>8727</v>
      </c>
      <c r="AA1339">
        <v>1.386837340951401</v>
      </c>
      <c r="AB1339" t="str">
        <f>HYPERLINK("Melting_Curves/meltCurve_P84085_ARF5.pdf", "Melting_Curves/meltCurve_P84085_ARF5.pdf")</f>
        <v>Melting_Curves/meltCurve_P84085_ARF5.pdf</v>
      </c>
    </row>
    <row r="1340" spans="1:28" x14ac:dyDescent="0.25">
      <c r="A1340" t="s">
        <v>1344</v>
      </c>
      <c r="B1340">
        <v>1</v>
      </c>
      <c r="C1340">
        <v>1.16059755235013</v>
      </c>
      <c r="D1340">
        <v>1.9866258010587901</v>
      </c>
      <c r="E1340">
        <v>2.0350644061984302</v>
      </c>
      <c r="F1340">
        <v>1.0801165955805101</v>
      </c>
      <c r="G1340">
        <v>0.92169449385944202</v>
      </c>
      <c r="H1340">
        <v>1.3165227082752899</v>
      </c>
      <c r="I1340">
        <v>1.35285166213001</v>
      </c>
      <c r="J1340">
        <v>1.27044173435926</v>
      </c>
      <c r="K1340">
        <v>1.54735623807789</v>
      </c>
      <c r="L1340">
        <v>10748.5764968197</v>
      </c>
      <c r="M1340">
        <v>250</v>
      </c>
      <c r="O1340">
        <v>42.9915546237917</v>
      </c>
      <c r="P1340">
        <v>0.63796570122892704</v>
      </c>
      <c r="Q1340">
        <v>1.4388341962989499</v>
      </c>
      <c r="R1340">
        <v>0.16400245906193001</v>
      </c>
      <c r="S1340" t="s">
        <v>3214</v>
      </c>
      <c r="T1340" t="s">
        <v>3746</v>
      </c>
      <c r="U1340" t="s">
        <v>3746</v>
      </c>
      <c r="V1340" t="s">
        <v>3746</v>
      </c>
      <c r="W1340" t="s">
        <v>5074</v>
      </c>
      <c r="X1340">
        <v>1</v>
      </c>
      <c r="Y1340" t="s">
        <v>6866</v>
      </c>
      <c r="Z1340" t="s">
        <v>8728</v>
      </c>
      <c r="AA1340">
        <v>1.395000955625767</v>
      </c>
      <c r="AB1340" t="str">
        <f>HYPERLINK("Melting_Curves/meltCurve_P98082_2_DAB2.pdf", "Melting_Curves/meltCurve_P98082_2_DAB2.pdf")</f>
        <v>Melting_Curves/meltCurve_P98082_2_DAB2.pdf</v>
      </c>
    </row>
    <row r="1341" spans="1:28" x14ac:dyDescent="0.25">
      <c r="A1341" t="s">
        <v>1345</v>
      </c>
      <c r="B1341">
        <v>1</v>
      </c>
      <c r="C1341">
        <v>1.2677263212977501</v>
      </c>
      <c r="D1341">
        <v>2.04546049188906</v>
      </c>
      <c r="E1341">
        <v>3.60524594453166</v>
      </c>
      <c r="F1341">
        <v>2.7671376242804802</v>
      </c>
      <c r="G1341">
        <v>2.86767399267399</v>
      </c>
      <c r="H1341">
        <v>1.88337257980115</v>
      </c>
      <c r="I1341">
        <v>2.76334379905808</v>
      </c>
      <c r="J1341">
        <v>2.7601386708529598</v>
      </c>
      <c r="K1341">
        <v>2.5151753008895898</v>
      </c>
      <c r="L1341">
        <v>10718.906070548999</v>
      </c>
      <c r="M1341">
        <v>250</v>
      </c>
      <c r="O1341">
        <v>42.872880540636601</v>
      </c>
      <c r="P1341">
        <v>0.72889900684930797</v>
      </c>
      <c r="Q1341">
        <v>1.5</v>
      </c>
      <c r="R1341">
        <v>-1.20935435566105</v>
      </c>
      <c r="S1341" t="s">
        <v>3215</v>
      </c>
      <c r="T1341" t="s">
        <v>3746</v>
      </c>
      <c r="U1341" t="s">
        <v>3746</v>
      </c>
      <c r="V1341" t="s">
        <v>3746</v>
      </c>
      <c r="W1341" t="s">
        <v>5075</v>
      </c>
      <c r="X1341">
        <v>14</v>
      </c>
      <c r="Y1341" t="s">
        <v>6867</v>
      </c>
      <c r="Z1341" t="s">
        <v>8729</v>
      </c>
      <c r="AA1341">
        <v>1.452035305564753</v>
      </c>
      <c r="AB1341" t="str">
        <f>HYPERLINK("Melting_Curves/meltCurve_P98160_HSPG2.pdf", "Melting_Curves/meltCurve_P98160_HSPG2.pdf")</f>
        <v>Melting_Curves/meltCurve_P98160_HSPG2.pdf</v>
      </c>
    </row>
    <row r="1342" spans="1:28" x14ac:dyDescent="0.25">
      <c r="A1342" t="s">
        <v>1346</v>
      </c>
      <c r="B1342">
        <v>1</v>
      </c>
      <c r="C1342">
        <v>1.10030235309583</v>
      </c>
      <c r="D1342">
        <v>1.7399763375838</v>
      </c>
      <c r="E1342">
        <v>2.0648744577363001</v>
      </c>
      <c r="F1342">
        <v>1.44426186407256</v>
      </c>
      <c r="G1342">
        <v>1.5625082161167301</v>
      </c>
      <c r="H1342">
        <v>1.0638885237281499</v>
      </c>
      <c r="I1342">
        <v>1.57644275009859</v>
      </c>
      <c r="J1342">
        <v>1.58485605363481</v>
      </c>
      <c r="K1342">
        <v>1.43144472196661</v>
      </c>
      <c r="L1342">
        <v>10784.309943955501</v>
      </c>
      <c r="M1342">
        <v>250</v>
      </c>
      <c r="O1342">
        <v>43.134479272892101</v>
      </c>
      <c r="P1342">
        <v>0.72447843486854002</v>
      </c>
      <c r="Q1342">
        <v>1.5</v>
      </c>
      <c r="R1342">
        <v>0.39800262818891002</v>
      </c>
      <c r="S1342" t="s">
        <v>3216</v>
      </c>
      <c r="T1342" t="s">
        <v>3746</v>
      </c>
      <c r="U1342" t="s">
        <v>3746</v>
      </c>
      <c r="V1342" t="s">
        <v>3746</v>
      </c>
      <c r="W1342" t="s">
        <v>5076</v>
      </c>
      <c r="X1342">
        <v>10</v>
      </c>
      <c r="Y1342" t="s">
        <v>6868</v>
      </c>
      <c r="Z1342" t="s">
        <v>8730</v>
      </c>
      <c r="AA1342">
        <v>1.4476748178032559</v>
      </c>
      <c r="AB1342" t="str">
        <f>HYPERLINK("Melting_Curves/meltCurve_P98164_LRP2.pdf", "Melting_Curves/meltCurve_P98164_LRP2.pdf")</f>
        <v>Melting_Curves/meltCurve_P98164_LRP2.pdf</v>
      </c>
    </row>
    <row r="1343" spans="1:28" x14ac:dyDescent="0.25">
      <c r="A1343" t="s">
        <v>1347</v>
      </c>
      <c r="B1343">
        <v>1</v>
      </c>
      <c r="C1343">
        <v>2.7741738865427301</v>
      </c>
      <c r="D1343">
        <v>2.4045452566502701</v>
      </c>
      <c r="E1343">
        <v>2.4903130306064698</v>
      </c>
      <c r="F1343">
        <v>1.3855849188036</v>
      </c>
      <c r="G1343">
        <v>1.9123601375767301</v>
      </c>
      <c r="H1343">
        <v>0.53463363664068997</v>
      </c>
      <c r="I1343">
        <v>2.4010623013627099</v>
      </c>
      <c r="J1343">
        <v>0.86856197483564801</v>
      </c>
      <c r="K1343">
        <v>1.2704950150202401</v>
      </c>
      <c r="L1343">
        <v>10218.5270021374</v>
      </c>
      <c r="M1343">
        <v>250</v>
      </c>
      <c r="O1343">
        <v>40.871492351481301</v>
      </c>
      <c r="P1343">
        <v>0.76459160774345303</v>
      </c>
      <c r="Q1343">
        <v>1.5</v>
      </c>
      <c r="R1343">
        <v>-2.9620515586950402E-2</v>
      </c>
      <c r="S1343" t="s">
        <v>3217</v>
      </c>
      <c r="T1343" t="s">
        <v>3746</v>
      </c>
      <c r="U1343" t="s">
        <v>3746</v>
      </c>
      <c r="V1343" t="s">
        <v>3746</v>
      </c>
      <c r="W1343" t="s">
        <v>5077</v>
      </c>
      <c r="X1343">
        <v>1</v>
      </c>
      <c r="Y1343" t="s">
        <v>6869</v>
      </c>
      <c r="Z1343" t="s">
        <v>8731</v>
      </c>
      <c r="AA1343">
        <v>1.4853847103489579</v>
      </c>
      <c r="AB1343" t="str">
        <f>HYPERLINK("Melting_Curves/meltCurve_P98174_FGD1.pdf", "Melting_Curves/meltCurve_P98174_FGD1.pdf")</f>
        <v>Melting_Curves/meltCurve_P98174_FGD1.pdf</v>
      </c>
    </row>
    <row r="1344" spans="1:28" x14ac:dyDescent="0.25">
      <c r="A1344" t="s">
        <v>1348</v>
      </c>
      <c r="B1344">
        <v>1</v>
      </c>
      <c r="C1344">
        <v>1.7159190853122299</v>
      </c>
      <c r="D1344">
        <v>3.0895545553313699</v>
      </c>
      <c r="E1344">
        <v>4.1302705778881501</v>
      </c>
      <c r="F1344">
        <v>2.21744528946143</v>
      </c>
      <c r="G1344">
        <v>2.2356562677841598</v>
      </c>
      <c r="H1344">
        <v>3.7860210047079499</v>
      </c>
      <c r="I1344">
        <v>3.7008122510217798</v>
      </c>
      <c r="J1344">
        <v>3.13528894407367</v>
      </c>
      <c r="K1344">
        <v>4.0039319157742304</v>
      </c>
      <c r="L1344">
        <v>10242.8200039944</v>
      </c>
      <c r="M1344">
        <v>250</v>
      </c>
      <c r="O1344">
        <v>40.968672887225402</v>
      </c>
      <c r="P1344">
        <v>0.76277821639486698</v>
      </c>
      <c r="Q1344">
        <v>1.5</v>
      </c>
      <c r="R1344">
        <v>-1.90692551943849</v>
      </c>
      <c r="S1344" t="s">
        <v>3218</v>
      </c>
      <c r="T1344" t="s">
        <v>3746</v>
      </c>
      <c r="U1344" t="s">
        <v>3746</v>
      </c>
      <c r="V1344" t="s">
        <v>3746</v>
      </c>
      <c r="W1344" t="s">
        <v>5078</v>
      </c>
      <c r="X1344">
        <v>2</v>
      </c>
      <c r="Y1344" t="s">
        <v>6870</v>
      </c>
      <c r="Z1344" t="s">
        <v>8732</v>
      </c>
      <c r="AA1344">
        <v>1.483770087077789</v>
      </c>
      <c r="AB1344" t="str">
        <f>HYPERLINK("Melting_Curves/meltCurve_Q00577_PURA.pdf", "Melting_Curves/meltCurve_Q00577_PURA.pdf")</f>
        <v>Melting_Curves/meltCurve_Q00577_PURA.pdf</v>
      </c>
    </row>
    <row r="1345" spans="1:28" x14ac:dyDescent="0.25">
      <c r="A1345" t="s">
        <v>1349</v>
      </c>
      <c r="B1345">
        <v>1</v>
      </c>
      <c r="C1345">
        <v>0.92744508249020097</v>
      </c>
      <c r="D1345">
        <v>1.35703217573603</v>
      </c>
      <c r="E1345">
        <v>1.44863731656184</v>
      </c>
      <c r="F1345">
        <v>0.94202898550724601</v>
      </c>
      <c r="G1345">
        <v>0.87243642329778504</v>
      </c>
      <c r="H1345">
        <v>0.56786072372618701</v>
      </c>
      <c r="I1345">
        <v>1.1091513991432</v>
      </c>
      <c r="J1345">
        <v>1.0773858353841901</v>
      </c>
      <c r="K1345">
        <v>1.0730562391760099</v>
      </c>
      <c r="L1345">
        <v>13076.882195147</v>
      </c>
      <c r="M1345">
        <v>250</v>
      </c>
      <c r="O1345">
        <v>52.304181469322103</v>
      </c>
      <c r="P1345">
        <v>-7.1751247625747597E-2</v>
      </c>
      <c r="Q1345">
        <v>0.93995375567402994</v>
      </c>
      <c r="R1345">
        <v>1.3298103823244299E-2</v>
      </c>
      <c r="S1345" t="s">
        <v>3219</v>
      </c>
      <c r="T1345" t="s">
        <v>3746</v>
      </c>
      <c r="U1345" t="s">
        <v>3746</v>
      </c>
      <c r="V1345" t="s">
        <v>3746</v>
      </c>
      <c r="W1345" t="s">
        <v>5079</v>
      </c>
      <c r="X1345">
        <v>9</v>
      </c>
      <c r="Y1345" t="s">
        <v>6871</v>
      </c>
      <c r="Z1345" t="s">
        <v>8733</v>
      </c>
      <c r="AA1345">
        <v>0.96459329719341347</v>
      </c>
      <c r="AB1345" t="str">
        <f>HYPERLINK("Melting_Curves/meltCurve_Q00610_2_CLTC.pdf", "Melting_Curves/meltCurve_Q00610_2_CLTC.pdf")</f>
        <v>Melting_Curves/meltCurve_Q00610_2_CLTC.pdf</v>
      </c>
    </row>
    <row r="1346" spans="1:28" x14ac:dyDescent="0.25">
      <c r="A1346" t="s">
        <v>1350</v>
      </c>
      <c r="B1346">
        <v>1</v>
      </c>
      <c r="C1346">
        <v>0.84596385790145301</v>
      </c>
      <c r="D1346">
        <v>1.2008397480755799</v>
      </c>
      <c r="E1346">
        <v>1.8153789157370399</v>
      </c>
      <c r="F1346">
        <v>1.13073724941341</v>
      </c>
      <c r="G1346">
        <v>0.742353764458898</v>
      </c>
      <c r="H1346">
        <v>1.4368336557856201</v>
      </c>
      <c r="I1346">
        <v>1.54637138270284</v>
      </c>
      <c r="J1346">
        <v>2.1469147491046798</v>
      </c>
      <c r="K1346">
        <v>2.1751121722306799</v>
      </c>
      <c r="L1346">
        <v>11518.3297164168</v>
      </c>
      <c r="M1346">
        <v>250</v>
      </c>
      <c r="O1346">
        <v>46.0703770562885</v>
      </c>
      <c r="P1346">
        <v>0.67831015253162397</v>
      </c>
      <c r="Q1346">
        <v>1.5</v>
      </c>
      <c r="R1346">
        <v>0.27540953241937699</v>
      </c>
      <c r="S1346" t="s">
        <v>3220</v>
      </c>
      <c r="T1346" t="s">
        <v>3746</v>
      </c>
      <c r="U1346" t="s">
        <v>3746</v>
      </c>
      <c r="V1346" t="s">
        <v>3746</v>
      </c>
      <c r="W1346" t="s">
        <v>5080</v>
      </c>
      <c r="X1346">
        <v>1</v>
      </c>
      <c r="Y1346" t="s">
        <v>6872</v>
      </c>
      <c r="Z1346" t="s">
        <v>8734</v>
      </c>
      <c r="AA1346">
        <v>1.398737589926859</v>
      </c>
      <c r="AB1346" t="str">
        <f>HYPERLINK("Melting_Curves/meltCurve_Q00688_FKBP3.pdf", "Melting_Curves/meltCurve_Q00688_FKBP3.pdf")</f>
        <v>Melting_Curves/meltCurve_Q00688_FKBP3.pdf</v>
      </c>
    </row>
    <row r="1347" spans="1:28" x14ac:dyDescent="0.25">
      <c r="A1347" t="s">
        <v>1351</v>
      </c>
      <c r="B1347">
        <v>1</v>
      </c>
      <c r="C1347">
        <v>1.04749391103705</v>
      </c>
      <c r="D1347">
        <v>1.71388283553391</v>
      </c>
      <c r="E1347">
        <v>2.1985322394564801</v>
      </c>
      <c r="F1347">
        <v>1.7570824253300901</v>
      </c>
      <c r="G1347">
        <v>1.6886296628637401</v>
      </c>
      <c r="H1347">
        <v>1.58207281117805</v>
      </c>
      <c r="I1347">
        <v>2.0031085758236098</v>
      </c>
      <c r="J1347">
        <v>2.0987693885399299</v>
      </c>
      <c r="K1347">
        <v>1.87991924112293</v>
      </c>
      <c r="L1347">
        <v>10821.704253493799</v>
      </c>
      <c r="M1347">
        <v>250</v>
      </c>
      <c r="O1347">
        <v>43.2840553045178</v>
      </c>
      <c r="P1347">
        <v>0.72197500520923397</v>
      </c>
      <c r="Q1347">
        <v>1.5</v>
      </c>
      <c r="R1347">
        <v>4.5647911838393E-2</v>
      </c>
      <c r="S1347" t="s">
        <v>3221</v>
      </c>
      <c r="T1347" t="s">
        <v>3746</v>
      </c>
      <c r="U1347" t="s">
        <v>3746</v>
      </c>
      <c r="V1347" t="s">
        <v>3746</v>
      </c>
      <c r="W1347" t="s">
        <v>5081</v>
      </c>
      <c r="X1347">
        <v>2</v>
      </c>
      <c r="Y1347" t="s">
        <v>6873</v>
      </c>
      <c r="Z1347" t="s">
        <v>8735</v>
      </c>
      <c r="AA1347">
        <v>1.4451817325857339</v>
      </c>
      <c r="AB1347" t="str">
        <f>HYPERLINK("Melting_Curves/meltCurve_Q01082_SPTBN1.pdf", "Melting_Curves/meltCurve_Q01082_SPTBN1.pdf")</f>
        <v>Melting_Curves/meltCurve_Q01082_SPTBN1.pdf</v>
      </c>
    </row>
    <row r="1348" spans="1:28" x14ac:dyDescent="0.25">
      <c r="A1348" t="s">
        <v>1352</v>
      </c>
      <c r="B1348">
        <v>1</v>
      </c>
      <c r="C1348">
        <v>0.90510816215233603</v>
      </c>
      <c r="D1348">
        <v>2.1688783857480498</v>
      </c>
      <c r="E1348">
        <v>3.1898442707386501</v>
      </c>
      <c r="F1348">
        <v>2.0638671756650302</v>
      </c>
      <c r="G1348">
        <v>1.7266557595588701</v>
      </c>
      <c r="H1348">
        <v>0.63770223595709896</v>
      </c>
      <c r="I1348">
        <v>2.03447857965218</v>
      </c>
      <c r="J1348">
        <v>2.0562927952493499</v>
      </c>
      <c r="K1348">
        <v>1.7578016118281501</v>
      </c>
      <c r="L1348">
        <v>1.0000000000000001E-5</v>
      </c>
      <c r="M1348">
        <v>23.912332826334499</v>
      </c>
      <c r="Q1348">
        <v>1.5</v>
      </c>
      <c r="R1348">
        <v>-0.12817673480604599</v>
      </c>
      <c r="S1348" t="s">
        <v>3222</v>
      </c>
      <c r="T1348" t="s">
        <v>3746</v>
      </c>
      <c r="U1348" t="s">
        <v>3746</v>
      </c>
      <c r="V1348" t="s">
        <v>3746</v>
      </c>
      <c r="W1348" t="s">
        <v>5082</v>
      </c>
      <c r="X1348">
        <v>1</v>
      </c>
      <c r="Y1348" t="s">
        <v>6874</v>
      </c>
      <c r="Z1348" t="s">
        <v>8736</v>
      </c>
      <c r="AA1348">
        <v>1.4999999999793949</v>
      </c>
      <c r="AB1348" t="str">
        <f>HYPERLINK("Melting_Curves/meltCurve_Q01105_3_SET.pdf", "Melting_Curves/meltCurve_Q01105_3_SET.pdf")</f>
        <v>Melting_Curves/meltCurve_Q01105_3_SET.pdf</v>
      </c>
    </row>
    <row r="1349" spans="1:28" x14ac:dyDescent="0.25">
      <c r="A1349" t="s">
        <v>1353</v>
      </c>
      <c r="B1349">
        <v>1</v>
      </c>
      <c r="C1349">
        <v>0.89805213004484297</v>
      </c>
      <c r="D1349">
        <v>1.3222393497757801</v>
      </c>
      <c r="E1349">
        <v>1.80647421524664</v>
      </c>
      <c r="F1349">
        <v>1.56376121076233</v>
      </c>
      <c r="G1349">
        <v>2.0080577354260098</v>
      </c>
      <c r="H1349">
        <v>1.1022281390134501</v>
      </c>
      <c r="I1349">
        <v>1.7359164798206299</v>
      </c>
      <c r="J1349">
        <v>1.65414798206278</v>
      </c>
      <c r="K1349">
        <v>1.48416479820628</v>
      </c>
      <c r="L1349">
        <v>11472.6366006237</v>
      </c>
      <c r="M1349">
        <v>250</v>
      </c>
      <c r="O1349">
        <v>45.887618003451401</v>
      </c>
      <c r="P1349">
        <v>0.68101172008983202</v>
      </c>
      <c r="Q1349">
        <v>1.5</v>
      </c>
      <c r="R1349">
        <v>0.50454485710604202</v>
      </c>
      <c r="S1349" t="s">
        <v>3223</v>
      </c>
      <c r="T1349" t="s">
        <v>3746</v>
      </c>
      <c r="U1349" t="s">
        <v>3746</v>
      </c>
      <c r="V1349" t="s">
        <v>3746</v>
      </c>
      <c r="W1349" t="s">
        <v>5083</v>
      </c>
      <c r="X1349">
        <v>6</v>
      </c>
      <c r="Y1349" t="s">
        <v>6875</v>
      </c>
      <c r="Z1349" t="s">
        <v>8737</v>
      </c>
      <c r="AA1349">
        <v>1.401783958027726</v>
      </c>
      <c r="AB1349" t="str">
        <f>HYPERLINK("Melting_Curves/meltCurve_Q01459_CTBS.pdf", "Melting_Curves/meltCurve_Q01459_CTBS.pdf")</f>
        <v>Melting_Curves/meltCurve_Q01459_CTBS.pdf</v>
      </c>
    </row>
    <row r="1350" spans="1:28" x14ac:dyDescent="0.25">
      <c r="A1350" t="s">
        <v>1354</v>
      </c>
      <c r="B1350">
        <v>1</v>
      </c>
      <c r="C1350">
        <v>1.03547264498977</v>
      </c>
      <c r="D1350">
        <v>1.7261362448284601</v>
      </c>
      <c r="E1350">
        <v>2.4990665093423701</v>
      </c>
      <c r="F1350">
        <v>1.96018102250833</v>
      </c>
      <c r="G1350">
        <v>2.7897181605006498</v>
      </c>
      <c r="H1350">
        <v>2.3964572162561799</v>
      </c>
      <c r="I1350">
        <v>3.8131226382686401</v>
      </c>
      <c r="J1350">
        <v>4.07435066389856</v>
      </c>
      <c r="K1350">
        <v>3.8204412050244199</v>
      </c>
      <c r="L1350">
        <v>10835.3476936365</v>
      </c>
      <c r="M1350">
        <v>250</v>
      </c>
      <c r="O1350">
        <v>43.338618227604698</v>
      </c>
      <c r="P1350">
        <v>0.72106592332582597</v>
      </c>
      <c r="Q1350">
        <v>1.5</v>
      </c>
      <c r="R1350">
        <v>-0.86229835617585204</v>
      </c>
      <c r="S1350" t="s">
        <v>3224</v>
      </c>
      <c r="T1350" t="s">
        <v>3746</v>
      </c>
      <c r="U1350" t="s">
        <v>3746</v>
      </c>
      <c r="V1350" t="s">
        <v>3746</v>
      </c>
      <c r="W1350" t="s">
        <v>5084</v>
      </c>
      <c r="X1350">
        <v>10</v>
      </c>
      <c r="Y1350" t="s">
        <v>6876</v>
      </c>
      <c r="Z1350" t="s">
        <v>8738</v>
      </c>
      <c r="AA1350">
        <v>1.4442721220223571</v>
      </c>
      <c r="AB1350" t="str">
        <f>HYPERLINK("Melting_Curves/meltCurve_Q01518_2_CAP1.pdf", "Melting_Curves/meltCurve_Q01518_2_CAP1.pdf")</f>
        <v>Melting_Curves/meltCurve_Q01518_2_CAP1.pdf</v>
      </c>
    </row>
    <row r="1351" spans="1:28" x14ac:dyDescent="0.25">
      <c r="A1351" t="s">
        <v>1355</v>
      </c>
      <c r="B1351">
        <v>1</v>
      </c>
      <c r="C1351">
        <v>1.0404396637865201</v>
      </c>
      <c r="D1351">
        <v>1.3885851995532801</v>
      </c>
      <c r="E1351">
        <v>1.9886557338505899</v>
      </c>
      <c r="F1351">
        <v>1.01275495209546</v>
      </c>
      <c r="G1351">
        <v>1.34491271380709</v>
      </c>
      <c r="H1351">
        <v>0.80714747545994203</v>
      </c>
      <c r="I1351">
        <v>1.4592958325986001</v>
      </c>
      <c r="J1351">
        <v>1.65532240051725</v>
      </c>
      <c r="K1351">
        <v>1.26044789278787</v>
      </c>
      <c r="L1351">
        <v>10814.2984666598</v>
      </c>
      <c r="M1351">
        <v>250</v>
      </c>
      <c r="O1351">
        <v>43.254423971721501</v>
      </c>
      <c r="P1351">
        <v>0.52688291848161095</v>
      </c>
      <c r="Q1351">
        <v>1.36464028832495</v>
      </c>
      <c r="R1351">
        <v>0.170208732219919</v>
      </c>
      <c r="S1351" t="s">
        <v>3225</v>
      </c>
      <c r="T1351" t="s">
        <v>3746</v>
      </c>
      <c r="U1351" t="s">
        <v>3746</v>
      </c>
      <c r="V1351" t="s">
        <v>3746</v>
      </c>
      <c r="W1351" t="s">
        <v>5085</v>
      </c>
      <c r="X1351">
        <v>3</v>
      </c>
      <c r="Y1351" t="s">
        <v>6877</v>
      </c>
      <c r="Z1351" t="s">
        <v>8739</v>
      </c>
      <c r="AA1351">
        <v>1.3250224693768571</v>
      </c>
      <c r="AB1351" t="str">
        <f>HYPERLINK("Melting_Curves/meltCurve_Q01970_2_PLCB3.pdf", "Melting_Curves/meltCurve_Q01970_2_PLCB3.pdf")</f>
        <v>Melting_Curves/meltCurve_Q01970_2_PLCB3.pdf</v>
      </c>
    </row>
    <row r="1352" spans="1:28" x14ac:dyDescent="0.25">
      <c r="A1352" t="s">
        <v>1356</v>
      </c>
      <c r="B1352">
        <v>1</v>
      </c>
      <c r="C1352">
        <v>1.01586809644827</v>
      </c>
      <c r="D1352">
        <v>1.2419264860844199</v>
      </c>
      <c r="E1352">
        <v>1.3455649910122101</v>
      </c>
      <c r="F1352">
        <v>0.88340668195623895</v>
      </c>
      <c r="G1352">
        <v>1.05312093225067</v>
      </c>
      <c r="H1352">
        <v>0.61850244839769397</v>
      </c>
      <c r="I1352">
        <v>1.0017975578007801</v>
      </c>
      <c r="J1352">
        <v>1.0316742081448</v>
      </c>
      <c r="K1352">
        <v>0.90565920783487297</v>
      </c>
      <c r="L1352">
        <v>4508.6665189444802</v>
      </c>
      <c r="M1352">
        <v>77.317731297916694</v>
      </c>
      <c r="O1352">
        <v>58.274512125876797</v>
      </c>
      <c r="P1352">
        <v>-3.5442758948969998E-2</v>
      </c>
      <c r="Q1352">
        <v>0.89314693346303797</v>
      </c>
      <c r="R1352">
        <v>0.126552181925285</v>
      </c>
      <c r="S1352" t="s">
        <v>3226</v>
      </c>
      <c r="T1352" t="s">
        <v>3746</v>
      </c>
      <c r="U1352" t="s">
        <v>3746</v>
      </c>
      <c r="V1352" t="s">
        <v>3746</v>
      </c>
      <c r="W1352" t="s">
        <v>5086</v>
      </c>
      <c r="X1352">
        <v>2</v>
      </c>
      <c r="Y1352" t="s">
        <v>6878</v>
      </c>
      <c r="Z1352" t="s">
        <v>8740</v>
      </c>
      <c r="AA1352">
        <v>0.95848989963078757</v>
      </c>
      <c r="AB1352" t="str">
        <f>HYPERLINK("Melting_Curves/meltCurve_Q01973_3_ROR1.pdf", "Melting_Curves/meltCurve_Q01973_3_ROR1.pdf")</f>
        <v>Melting_Curves/meltCurve_Q01973_3_ROR1.pdf</v>
      </c>
    </row>
    <row r="1353" spans="1:28" x14ac:dyDescent="0.25">
      <c r="A1353" t="s">
        <v>1357</v>
      </c>
      <c r="B1353">
        <v>1</v>
      </c>
      <c r="C1353">
        <v>0.77053335680337998</v>
      </c>
      <c r="D1353">
        <v>1.01718007393065</v>
      </c>
      <c r="E1353">
        <v>1.1320894208766099</v>
      </c>
      <c r="F1353">
        <v>0.78908642844569599</v>
      </c>
      <c r="G1353">
        <v>0.97384263333920096</v>
      </c>
      <c r="H1353">
        <v>0.83326879070586202</v>
      </c>
      <c r="I1353">
        <v>0.77975708502024299</v>
      </c>
      <c r="J1353">
        <v>0.66203133251188195</v>
      </c>
      <c r="K1353">
        <v>0.77482837528604098</v>
      </c>
      <c r="L1353">
        <v>829.91198002350302</v>
      </c>
      <c r="M1353">
        <v>13.7634321586117</v>
      </c>
      <c r="O1353">
        <v>59.0681538604153</v>
      </c>
      <c r="P1353">
        <v>-1.88343845416294E-2</v>
      </c>
      <c r="Q1353">
        <v>0.67672162477324105</v>
      </c>
      <c r="R1353">
        <v>0.39511635833402597</v>
      </c>
      <c r="S1353" t="s">
        <v>3227</v>
      </c>
      <c r="T1353" t="s">
        <v>3746</v>
      </c>
      <c r="U1353" t="s">
        <v>3746</v>
      </c>
      <c r="V1353" t="s">
        <v>3746</v>
      </c>
      <c r="W1353" t="s">
        <v>5087</v>
      </c>
      <c r="X1353">
        <v>7</v>
      </c>
      <c r="Y1353" t="s">
        <v>6879</v>
      </c>
      <c r="Z1353" t="s">
        <v>8741</v>
      </c>
      <c r="AA1353">
        <v>0.89678010164660116</v>
      </c>
      <c r="AB1353" t="str">
        <f>HYPERLINK("Melting_Curves/meltCurve_Q02383_SEMG2.pdf", "Melting_Curves/meltCurve_Q02383_SEMG2.pdf")</f>
        <v>Melting_Curves/meltCurve_Q02383_SEMG2.pdf</v>
      </c>
    </row>
    <row r="1354" spans="1:28" x14ac:dyDescent="0.25">
      <c r="A1354" t="s">
        <v>1358</v>
      </c>
      <c r="B1354">
        <v>1</v>
      </c>
      <c r="C1354">
        <v>1.5207055214723899</v>
      </c>
      <c r="D1354">
        <v>1.0925869120654399</v>
      </c>
      <c r="E1354">
        <v>1.54330265848671</v>
      </c>
      <c r="F1354">
        <v>1.06145194274029</v>
      </c>
      <c r="G1354">
        <v>1.15853783231084</v>
      </c>
      <c r="H1354">
        <v>0.71370143149284204</v>
      </c>
      <c r="I1354">
        <v>1.1567484662576699</v>
      </c>
      <c r="J1354">
        <v>1.18052147239264</v>
      </c>
      <c r="K1354">
        <v>1.5565950920245399</v>
      </c>
      <c r="L1354">
        <v>15000</v>
      </c>
      <c r="M1354">
        <v>223.310105191812</v>
      </c>
      <c r="O1354">
        <v>67.165782475829502</v>
      </c>
      <c r="P1354">
        <v>0.41559502475986498</v>
      </c>
      <c r="Q1354">
        <v>1.5</v>
      </c>
      <c r="R1354">
        <v>-8.2707508392581494E-2</v>
      </c>
      <c r="S1354" t="s">
        <v>3228</v>
      </c>
      <c r="T1354" t="s">
        <v>3746</v>
      </c>
      <c r="U1354" t="s">
        <v>3746</v>
      </c>
      <c r="V1354" t="s">
        <v>3746</v>
      </c>
      <c r="W1354" t="s">
        <v>5088</v>
      </c>
      <c r="X1354">
        <v>2</v>
      </c>
      <c r="Y1354" t="s">
        <v>6880</v>
      </c>
      <c r="Z1354" t="s">
        <v>8742</v>
      </c>
      <c r="AA1354">
        <v>1.0470740282865241</v>
      </c>
      <c r="AB1354" t="str">
        <f>HYPERLINK("Melting_Curves/meltCurve_Q02413_DSG1.pdf", "Melting_Curves/meltCurve_Q02413_DSG1.pdf")</f>
        <v>Melting_Curves/meltCurve_Q02413_DSG1.pdf</v>
      </c>
    </row>
    <row r="1355" spans="1:28" x14ac:dyDescent="0.25">
      <c r="A1355" t="s">
        <v>1359</v>
      </c>
      <c r="B1355">
        <v>1</v>
      </c>
      <c r="C1355">
        <v>0.95888362820832296</v>
      </c>
      <c r="D1355">
        <v>1.21953650635435</v>
      </c>
      <c r="E1355">
        <v>1.41639671069026</v>
      </c>
      <c r="F1355">
        <v>1.1802267630201799</v>
      </c>
      <c r="G1355">
        <v>1.2726140044854199</v>
      </c>
      <c r="H1355">
        <v>0.59418764016944903</v>
      </c>
      <c r="I1355">
        <v>1.0735110889608801</v>
      </c>
      <c r="J1355">
        <v>0.99140294044355803</v>
      </c>
      <c r="K1355">
        <v>0.884749563917269</v>
      </c>
      <c r="L1355">
        <v>1013.96239341923</v>
      </c>
      <c r="M1355">
        <v>12.2695277868056</v>
      </c>
      <c r="Q1355">
        <v>0</v>
      </c>
      <c r="R1355">
        <v>-4.4825862571025797E-2</v>
      </c>
      <c r="S1355" t="s">
        <v>3229</v>
      </c>
      <c r="T1355" t="s">
        <v>3746</v>
      </c>
      <c r="U1355" t="s">
        <v>3746</v>
      </c>
      <c r="V1355" t="s">
        <v>3746</v>
      </c>
      <c r="W1355" t="s">
        <v>5089</v>
      </c>
      <c r="X1355">
        <v>5</v>
      </c>
      <c r="Y1355" t="s">
        <v>6881</v>
      </c>
      <c r="Z1355" t="s">
        <v>8743</v>
      </c>
      <c r="AA1355">
        <v>0.98529332941866321</v>
      </c>
      <c r="AB1355" t="str">
        <f>HYPERLINK("Melting_Curves/meltCurve_Q02487_2_DSC2.pdf", "Melting_Curves/meltCurve_Q02487_2_DSC2.pdf")</f>
        <v>Melting_Curves/meltCurve_Q02487_2_DSC2.pdf</v>
      </c>
    </row>
    <row r="1356" spans="1:28" x14ac:dyDescent="0.25">
      <c r="A1356" t="s">
        <v>1360</v>
      </c>
      <c r="B1356">
        <v>1</v>
      </c>
      <c r="C1356">
        <v>0.95495769675573705</v>
      </c>
      <c r="D1356">
        <v>1.6534177369286001</v>
      </c>
      <c r="E1356">
        <v>2.3341043277131899</v>
      </c>
      <c r="F1356">
        <v>1.2569237324243701</v>
      </c>
      <c r="G1356">
        <v>1.73674599793049</v>
      </c>
      <c r="H1356">
        <v>1.6648000486943799</v>
      </c>
      <c r="I1356">
        <v>2.1051798648730902</v>
      </c>
      <c r="J1356">
        <v>2.21827256680261</v>
      </c>
      <c r="K1356">
        <v>2.2028121005539001</v>
      </c>
      <c r="L1356">
        <v>11073.3294885045</v>
      </c>
      <c r="M1356">
        <v>250</v>
      </c>
      <c r="O1356">
        <v>44.290483496951801</v>
      </c>
      <c r="P1356">
        <v>0.70556917839796895</v>
      </c>
      <c r="Q1356">
        <v>1.5</v>
      </c>
      <c r="R1356">
        <v>3.9666110510016499E-2</v>
      </c>
      <c r="S1356" t="s">
        <v>3230</v>
      </c>
      <c r="T1356" t="s">
        <v>3746</v>
      </c>
      <c r="U1356" t="s">
        <v>3746</v>
      </c>
      <c r="V1356" t="s">
        <v>3746</v>
      </c>
      <c r="W1356" t="s">
        <v>5090</v>
      </c>
      <c r="X1356">
        <v>2</v>
      </c>
      <c r="Y1356" t="s">
        <v>6882</v>
      </c>
      <c r="Z1356" t="s">
        <v>8744</v>
      </c>
      <c r="AA1356">
        <v>1.4284058337245349</v>
      </c>
      <c r="AB1356" t="str">
        <f>HYPERLINK("Melting_Curves/meltCurve_Q02750_MAP2K1.pdf", "Melting_Curves/meltCurve_Q02750_MAP2K1.pdf")</f>
        <v>Melting_Curves/meltCurve_Q02750_MAP2K1.pdf</v>
      </c>
    </row>
    <row r="1357" spans="1:28" x14ac:dyDescent="0.25">
      <c r="A1357" t="s">
        <v>1361</v>
      </c>
      <c r="B1357">
        <v>1</v>
      </c>
      <c r="C1357">
        <v>1.114359568589</v>
      </c>
      <c r="D1357">
        <v>1.81228273464658</v>
      </c>
      <c r="E1357">
        <v>2.6816115518317098</v>
      </c>
      <c r="F1357">
        <v>1.84838220875301</v>
      </c>
      <c r="G1357">
        <v>2.0886888314466501</v>
      </c>
      <c r="H1357">
        <v>1.5619039130047201</v>
      </c>
      <c r="I1357">
        <v>2.1740796862465501</v>
      </c>
      <c r="J1357">
        <v>2.3110794188430299</v>
      </c>
      <c r="K1357">
        <v>2.1184597557714602</v>
      </c>
      <c r="L1357">
        <v>10777.1473099423</v>
      </c>
      <c r="M1357">
        <v>250</v>
      </c>
      <c r="O1357">
        <v>43.105830590677201</v>
      </c>
      <c r="P1357">
        <v>0.72495993277612303</v>
      </c>
      <c r="Q1357">
        <v>1.5</v>
      </c>
      <c r="R1357">
        <v>-0.39418394255276001</v>
      </c>
      <c r="S1357" t="s">
        <v>3231</v>
      </c>
      <c r="T1357" t="s">
        <v>3746</v>
      </c>
      <c r="U1357" t="s">
        <v>3746</v>
      </c>
      <c r="V1357" t="s">
        <v>3746</v>
      </c>
      <c r="W1357" t="s">
        <v>5091</v>
      </c>
      <c r="X1357">
        <v>15</v>
      </c>
      <c r="Y1357" t="s">
        <v>6883</v>
      </c>
      <c r="Z1357" t="s">
        <v>8745</v>
      </c>
      <c r="AA1357">
        <v>1.4481523518766179</v>
      </c>
      <c r="AB1357" t="str">
        <f>HYPERLINK("Melting_Curves/meltCurve_Q02790_FKBP4.pdf", "Melting_Curves/meltCurve_Q02790_FKBP4.pdf")</f>
        <v>Melting_Curves/meltCurve_Q02790_FKBP4.pdf</v>
      </c>
    </row>
    <row r="1358" spans="1:28" x14ac:dyDescent="0.25">
      <c r="A1358" t="s">
        <v>1362</v>
      </c>
      <c r="B1358">
        <v>1</v>
      </c>
      <c r="C1358">
        <v>1.0484305068344</v>
      </c>
      <c r="D1358">
        <v>1.3243468005322401</v>
      </c>
      <c r="E1358">
        <v>1.6408612555945301</v>
      </c>
      <c r="F1358">
        <v>1.27112314019596</v>
      </c>
      <c r="G1358">
        <v>1.2582405951372899</v>
      </c>
      <c r="H1358">
        <v>1.0135176000967701</v>
      </c>
      <c r="I1358">
        <v>2.10823152292246</v>
      </c>
      <c r="J1358">
        <v>2.55095560662877</v>
      </c>
      <c r="K1358">
        <v>2.4082194266360202</v>
      </c>
      <c r="L1358">
        <v>2312.98780996698</v>
      </c>
      <c r="M1358">
        <v>50.984869410525498</v>
      </c>
      <c r="O1358">
        <v>45.296537057269099</v>
      </c>
      <c r="P1358">
        <v>0.140697610339207</v>
      </c>
      <c r="Q1358">
        <v>1.5</v>
      </c>
      <c r="R1358">
        <v>0.14268419992925199</v>
      </c>
      <c r="S1358" t="s">
        <v>3232</v>
      </c>
      <c r="T1358" t="s">
        <v>3746</v>
      </c>
      <c r="U1358" t="s">
        <v>3746</v>
      </c>
      <c r="V1358" t="s">
        <v>3746</v>
      </c>
      <c r="W1358" t="s">
        <v>5092</v>
      </c>
      <c r="X1358">
        <v>11</v>
      </c>
      <c r="Y1358" t="s">
        <v>6884</v>
      </c>
      <c r="Z1358" t="s">
        <v>8746</v>
      </c>
      <c r="AA1358">
        <v>1.4095899806222509</v>
      </c>
      <c r="AB1358" t="str">
        <f>HYPERLINK("Melting_Curves/meltCurve_Q02809_PLOD1.pdf", "Melting_Curves/meltCurve_Q02809_PLOD1.pdf")</f>
        <v>Melting_Curves/meltCurve_Q02809_PLOD1.pdf</v>
      </c>
    </row>
    <row r="1359" spans="1:28" x14ac:dyDescent="0.25">
      <c r="A1359" t="s">
        <v>1363</v>
      </c>
      <c r="B1359">
        <v>1</v>
      </c>
      <c r="C1359">
        <v>0.99526911741895496</v>
      </c>
      <c r="D1359">
        <v>1.19350085310997</v>
      </c>
      <c r="E1359">
        <v>1.39025903521018</v>
      </c>
      <c r="F1359">
        <v>0.90553745928338802</v>
      </c>
      <c r="G1359">
        <v>0.99480378470606501</v>
      </c>
      <c r="H1359">
        <v>0.63016907088568297</v>
      </c>
      <c r="I1359">
        <v>0.94198852179308201</v>
      </c>
      <c r="J1359">
        <v>0.94842562432138999</v>
      </c>
      <c r="K1359">
        <v>0.88079727004808395</v>
      </c>
      <c r="L1359">
        <v>14439.410688448401</v>
      </c>
      <c r="M1359">
        <v>250</v>
      </c>
      <c r="O1359">
        <v>57.753971247433398</v>
      </c>
      <c r="P1359">
        <v>-0.16195295591905101</v>
      </c>
      <c r="Q1359">
        <v>0.85034524174199</v>
      </c>
      <c r="R1359">
        <v>0.24891340541182699</v>
      </c>
      <c r="S1359" t="s">
        <v>3233</v>
      </c>
      <c r="T1359" t="s">
        <v>3746</v>
      </c>
      <c r="U1359" t="s">
        <v>3746</v>
      </c>
      <c r="V1359" t="s">
        <v>3746</v>
      </c>
      <c r="W1359" t="s">
        <v>5093</v>
      </c>
      <c r="X1359">
        <v>27</v>
      </c>
      <c r="Y1359" t="s">
        <v>6885</v>
      </c>
      <c r="Z1359" t="s">
        <v>8747</v>
      </c>
      <c r="AA1359">
        <v>0.9389442690966423</v>
      </c>
      <c r="AB1359" t="str">
        <f>HYPERLINK("Melting_Curves/meltCurve_Q02818_NUCB1.pdf", "Melting_Curves/meltCurve_Q02818_NUCB1.pdf")</f>
        <v>Melting_Curves/meltCurve_Q02818_NUCB1.pdf</v>
      </c>
    </row>
    <row r="1360" spans="1:28" x14ac:dyDescent="0.25">
      <c r="A1360" t="s">
        <v>1364</v>
      </c>
      <c r="B1360">
        <v>1</v>
      </c>
      <c r="C1360">
        <v>1.3743330765499699</v>
      </c>
      <c r="D1360">
        <v>1.42697366543981</v>
      </c>
      <c r="E1360">
        <v>1.55439527518617</v>
      </c>
      <c r="F1360">
        <v>1.06513737909783</v>
      </c>
      <c r="G1360">
        <v>0.95917144569031898</v>
      </c>
      <c r="H1360">
        <v>0.640474763901966</v>
      </c>
      <c r="I1360">
        <v>1.0262774972181801</v>
      </c>
      <c r="J1360">
        <v>1.0256498045593301</v>
      </c>
      <c r="K1360">
        <v>0.93357870409997401</v>
      </c>
      <c r="L1360">
        <v>14264.5223799384</v>
      </c>
      <c r="M1360">
        <v>250</v>
      </c>
      <c r="O1360">
        <v>57.054434273364002</v>
      </c>
      <c r="P1360">
        <v>-0.102429359400469</v>
      </c>
      <c r="Q1360">
        <v>0.90649520724222199</v>
      </c>
      <c r="R1360">
        <v>-9.6431892533188193E-2</v>
      </c>
      <c r="S1360" t="s">
        <v>3234</v>
      </c>
      <c r="T1360" t="s">
        <v>3746</v>
      </c>
      <c r="U1360" t="s">
        <v>3746</v>
      </c>
      <c r="V1360" t="s">
        <v>3746</v>
      </c>
      <c r="W1360" t="s">
        <v>5094</v>
      </c>
      <c r="X1360">
        <v>2</v>
      </c>
      <c r="Y1360" t="s">
        <v>6886</v>
      </c>
      <c r="Z1360" t="s">
        <v>8748</v>
      </c>
      <c r="AA1360">
        <v>0.95967167462328062</v>
      </c>
      <c r="AB1360" t="str">
        <f>HYPERLINK("Melting_Curves/meltCurve_Q02985_2_CFHR3.pdf", "Melting_Curves/meltCurve_Q02985_2_CFHR3.pdf")</f>
        <v>Melting_Curves/meltCurve_Q02985_2_CFHR3.pdf</v>
      </c>
    </row>
    <row r="1361" spans="1:28" x14ac:dyDescent="0.25">
      <c r="A1361" t="s">
        <v>1365</v>
      </c>
      <c r="B1361">
        <v>1</v>
      </c>
      <c r="C1361">
        <v>0.97952112850337203</v>
      </c>
      <c r="D1361">
        <v>1.5127451586957901</v>
      </c>
      <c r="E1361">
        <v>2.13014291901256</v>
      </c>
      <c r="F1361">
        <v>1.343779001423</v>
      </c>
      <c r="G1361">
        <v>1.7437975623337301</v>
      </c>
      <c r="H1361">
        <v>1.11990348326425</v>
      </c>
      <c r="I1361">
        <v>1.74129183938625</v>
      </c>
      <c r="J1361">
        <v>1.7019117738043701</v>
      </c>
      <c r="K1361">
        <v>1.53164635278104</v>
      </c>
      <c r="L1361">
        <v>11110.8922303299</v>
      </c>
      <c r="M1361">
        <v>250</v>
      </c>
      <c r="O1361">
        <v>44.440724799630601</v>
      </c>
      <c r="P1361">
        <v>0.70318385124882998</v>
      </c>
      <c r="Q1361">
        <v>1.5</v>
      </c>
      <c r="R1361">
        <v>0.415778404785277</v>
      </c>
      <c r="S1361" t="s">
        <v>3235</v>
      </c>
      <c r="T1361" t="s">
        <v>3746</v>
      </c>
      <c r="U1361" t="s">
        <v>3746</v>
      </c>
      <c r="V1361" t="s">
        <v>3746</v>
      </c>
      <c r="W1361" t="s">
        <v>5095</v>
      </c>
      <c r="X1361">
        <v>7</v>
      </c>
      <c r="Y1361" t="s">
        <v>6887</v>
      </c>
      <c r="Z1361" t="s">
        <v>8749</v>
      </c>
      <c r="AA1361">
        <v>1.4259015190921229</v>
      </c>
      <c r="AB1361" t="str">
        <f>HYPERLINK("Melting_Curves/meltCurve_Q03167_2_TGFBR3.pdf", "Melting_Curves/meltCurve_Q03167_2_TGFBR3.pdf")</f>
        <v>Melting_Curves/meltCurve_Q03167_2_TGFBR3.pdf</v>
      </c>
    </row>
    <row r="1362" spans="1:28" x14ac:dyDescent="0.25">
      <c r="A1362" t="s">
        <v>1366</v>
      </c>
      <c r="B1362">
        <v>1</v>
      </c>
      <c r="C1362">
        <v>1.02478314745973</v>
      </c>
      <c r="D1362">
        <v>1.2188802523375</v>
      </c>
      <c r="E1362">
        <v>1.3816604708797999</v>
      </c>
      <c r="F1362">
        <v>1.1082009687957599</v>
      </c>
      <c r="G1362">
        <v>1.2094175960347</v>
      </c>
      <c r="H1362">
        <v>0.64846231835079404</v>
      </c>
      <c r="I1362">
        <v>1.02993128309113</v>
      </c>
      <c r="J1362">
        <v>1.0366790582404</v>
      </c>
      <c r="K1362">
        <v>0.89965078292215805</v>
      </c>
      <c r="L1362">
        <v>918.43553350233196</v>
      </c>
      <c r="M1362">
        <v>10.605073875542599</v>
      </c>
      <c r="Q1362">
        <v>0</v>
      </c>
      <c r="R1362">
        <v>-6.4751680391414101E-2</v>
      </c>
      <c r="S1362" t="s">
        <v>3236</v>
      </c>
      <c r="T1362" t="s">
        <v>3746</v>
      </c>
      <c r="U1362" t="s">
        <v>3746</v>
      </c>
      <c r="V1362" t="s">
        <v>3746</v>
      </c>
      <c r="W1362" t="s">
        <v>5096</v>
      </c>
      <c r="X1362">
        <v>5</v>
      </c>
      <c r="Y1362" t="s">
        <v>6888</v>
      </c>
      <c r="Z1362" t="s">
        <v>8750</v>
      </c>
      <c r="AA1362">
        <v>0.98794116574581303</v>
      </c>
      <c r="AB1362" t="str">
        <f>HYPERLINK("Melting_Curves/meltCurve_Q03405_3_PLAUR.pdf", "Melting_Curves/meltCurve_Q03405_3_PLAUR.pdf")</f>
        <v>Melting_Curves/meltCurve_Q03405_3_PLAUR.pdf</v>
      </c>
    </row>
    <row r="1363" spans="1:28" x14ac:dyDescent="0.25">
      <c r="A1363" t="s">
        <v>1367</v>
      </c>
      <c r="B1363">
        <v>1</v>
      </c>
      <c r="C1363">
        <v>0.98452892045898099</v>
      </c>
      <c r="D1363">
        <v>1.25225197096245</v>
      </c>
      <c r="E1363">
        <v>1.4521739130434801</v>
      </c>
      <c r="F1363">
        <v>0.93049722894387599</v>
      </c>
      <c r="G1363">
        <v>1.1030520646319599</v>
      </c>
      <c r="H1363">
        <v>0.61181796893294804</v>
      </c>
      <c r="I1363">
        <v>1.0008274139411399</v>
      </c>
      <c r="J1363">
        <v>0.98712044336897997</v>
      </c>
      <c r="K1363">
        <v>0.93952072437748801</v>
      </c>
      <c r="L1363">
        <v>2799.4813412475801</v>
      </c>
      <c r="M1363">
        <v>48.065871184710403</v>
      </c>
      <c r="O1363">
        <v>58.142063837599302</v>
      </c>
      <c r="P1363">
        <v>-2.1093005660777198E-2</v>
      </c>
      <c r="Q1363">
        <v>0.89794093965397703</v>
      </c>
      <c r="R1363">
        <v>7.8054516131031398E-2</v>
      </c>
      <c r="S1363" t="s">
        <v>3237</v>
      </c>
      <c r="T1363" t="s">
        <v>3746</v>
      </c>
      <c r="U1363" t="s">
        <v>3746</v>
      </c>
      <c r="V1363" t="s">
        <v>3746</v>
      </c>
      <c r="W1363" t="s">
        <v>5097</v>
      </c>
      <c r="X1363">
        <v>7</v>
      </c>
      <c r="Y1363" t="s">
        <v>6889</v>
      </c>
      <c r="Z1363" t="s">
        <v>8751</v>
      </c>
      <c r="AA1363">
        <v>0.96028359720335021</v>
      </c>
      <c r="AB1363" t="str">
        <f>HYPERLINK("Melting_Curves/meltCurve_Q03591_CFHR1.pdf", "Melting_Curves/meltCurve_Q03591_CFHR1.pdf")</f>
        <v>Melting_Curves/meltCurve_Q03591_CFHR1.pdf</v>
      </c>
    </row>
    <row r="1364" spans="1:28" x14ac:dyDescent="0.25">
      <c r="A1364" t="s">
        <v>1368</v>
      </c>
      <c r="B1364">
        <v>1</v>
      </c>
      <c r="C1364">
        <v>0.911205073995772</v>
      </c>
      <c r="D1364">
        <v>1.3478614408847001</v>
      </c>
      <c r="E1364">
        <v>1.4310185938092901</v>
      </c>
      <c r="F1364">
        <v>1.0030899333224901</v>
      </c>
      <c r="G1364">
        <v>1.04044017997506</v>
      </c>
      <c r="H1364">
        <v>0.81389927901555803</v>
      </c>
      <c r="I1364">
        <v>1.18290236894888</v>
      </c>
      <c r="J1364">
        <v>1.1176343036808201</v>
      </c>
      <c r="K1364">
        <v>1.0376755027917799</v>
      </c>
      <c r="L1364">
        <v>11079.812149842301</v>
      </c>
      <c r="M1364">
        <v>250</v>
      </c>
      <c r="O1364">
        <v>44.316412473150699</v>
      </c>
      <c r="P1364">
        <v>0.17179131165403599</v>
      </c>
      <c r="Q1364">
        <v>1.1218107938499999</v>
      </c>
      <c r="R1364">
        <v>0.125305173324193</v>
      </c>
      <c r="S1364" t="s">
        <v>3238</v>
      </c>
      <c r="T1364" t="s">
        <v>3746</v>
      </c>
      <c r="U1364" t="s">
        <v>3746</v>
      </c>
      <c r="V1364" t="s">
        <v>3746</v>
      </c>
      <c r="W1364" t="s">
        <v>5098</v>
      </c>
      <c r="X1364">
        <v>5</v>
      </c>
      <c r="Y1364" t="s">
        <v>6890</v>
      </c>
      <c r="Z1364" t="s">
        <v>8752</v>
      </c>
      <c r="AA1364">
        <v>1.10426361609872</v>
      </c>
      <c r="AB1364" t="str">
        <f>HYPERLINK("Melting_Curves/meltCurve_Q04609_6_FOLH1.pdf", "Melting_Curves/meltCurve_Q04609_6_FOLH1.pdf")</f>
        <v>Melting_Curves/meltCurve_Q04609_6_FOLH1.pdf</v>
      </c>
    </row>
    <row r="1365" spans="1:28" x14ac:dyDescent="0.25">
      <c r="A1365" t="s">
        <v>1369</v>
      </c>
      <c r="B1365">
        <v>1</v>
      </c>
      <c r="C1365">
        <v>1.0678970538435499</v>
      </c>
      <c r="D1365">
        <v>2.0115137148662399</v>
      </c>
      <c r="E1365">
        <v>2.9967829326109001</v>
      </c>
      <c r="F1365">
        <v>2.44784964442939</v>
      </c>
      <c r="G1365">
        <v>2.8475279376904798</v>
      </c>
      <c r="H1365">
        <v>1.6249576701659301</v>
      </c>
      <c r="I1365">
        <v>2.4789197426346101</v>
      </c>
      <c r="J1365">
        <v>2.4814595326786302</v>
      </c>
      <c r="K1365">
        <v>2.23569251608534</v>
      </c>
      <c r="L1365">
        <v>10804.3929904985</v>
      </c>
      <c r="M1365">
        <v>250</v>
      </c>
      <c r="O1365">
        <v>43.2148063354418</v>
      </c>
      <c r="P1365">
        <v>0.72313178502531394</v>
      </c>
      <c r="Q1365">
        <v>1.5</v>
      </c>
      <c r="R1365">
        <v>-0.79089573661825197</v>
      </c>
      <c r="S1365" t="s">
        <v>3239</v>
      </c>
      <c r="T1365" t="s">
        <v>3746</v>
      </c>
      <c r="U1365" t="s">
        <v>3746</v>
      </c>
      <c r="V1365" t="s">
        <v>3746</v>
      </c>
      <c r="W1365" t="s">
        <v>5099</v>
      </c>
      <c r="X1365">
        <v>3</v>
      </c>
      <c r="Y1365" t="s">
        <v>6891</v>
      </c>
      <c r="Z1365" t="s">
        <v>8753</v>
      </c>
      <c r="AA1365">
        <v>1.446335877545819</v>
      </c>
      <c r="AB1365" t="str">
        <f>HYPERLINK("Melting_Curves/meltCurve_Q04760_2_GLO1.pdf", "Melting_Curves/meltCurve_Q04760_2_GLO1.pdf")</f>
        <v>Melting_Curves/meltCurve_Q04760_2_GLO1.pdf</v>
      </c>
    </row>
    <row r="1366" spans="1:28" x14ac:dyDescent="0.25">
      <c r="A1366" t="s">
        <v>1370</v>
      </c>
      <c r="B1366">
        <v>1</v>
      </c>
      <c r="C1366">
        <v>1.1332842045321301</v>
      </c>
      <c r="D1366">
        <v>1.7048252298725399</v>
      </c>
      <c r="E1366">
        <v>2.6675264206876901</v>
      </c>
      <c r="F1366">
        <v>1.89140301807158</v>
      </c>
      <c r="G1366">
        <v>1.8001239385666701</v>
      </c>
      <c r="H1366">
        <v>1.5993434605657599</v>
      </c>
      <c r="I1366">
        <v>2.12269918100055</v>
      </c>
      <c r="J1366">
        <v>2.4580032492002601</v>
      </c>
      <c r="K1366">
        <v>2.24580032492003</v>
      </c>
      <c r="L1366">
        <v>1.0000000000000001E-5</v>
      </c>
      <c r="M1366">
        <v>24.975673622737101</v>
      </c>
      <c r="Q1366">
        <v>1.5</v>
      </c>
      <c r="R1366">
        <v>-0.50644800839582504</v>
      </c>
      <c r="S1366" t="s">
        <v>3240</v>
      </c>
      <c r="T1366" t="s">
        <v>3746</v>
      </c>
      <c r="U1366" t="s">
        <v>3746</v>
      </c>
      <c r="V1366" t="s">
        <v>3746</v>
      </c>
      <c r="W1366" t="s">
        <v>5100</v>
      </c>
      <c r="X1366">
        <v>10</v>
      </c>
      <c r="Y1366" t="s">
        <v>6892</v>
      </c>
      <c r="Z1366" t="s">
        <v>8754</v>
      </c>
      <c r="AA1366">
        <v>1.499999999992885</v>
      </c>
      <c r="AB1366" t="str">
        <f>HYPERLINK("Melting_Curves/meltCurve_Q04917_YWHAH.pdf", "Melting_Curves/meltCurve_Q04917_YWHAH.pdf")</f>
        <v>Melting_Curves/meltCurve_Q04917_YWHAH.pdf</v>
      </c>
    </row>
    <row r="1367" spans="1:28" x14ac:dyDescent="0.25">
      <c r="A1367" t="s">
        <v>1371</v>
      </c>
      <c r="B1367">
        <v>1</v>
      </c>
      <c r="C1367">
        <v>1.01693202543501</v>
      </c>
      <c r="D1367">
        <v>1.79807265736679</v>
      </c>
      <c r="E1367">
        <v>2.3702370976487401</v>
      </c>
      <c r="F1367">
        <v>1.46717109478977</v>
      </c>
      <c r="G1367">
        <v>1.62715039187657</v>
      </c>
      <c r="H1367">
        <v>1.48713461822842</v>
      </c>
      <c r="I1367">
        <v>2.1025533592941299</v>
      </c>
      <c r="J1367">
        <v>2.0224035096367099</v>
      </c>
      <c r="K1367">
        <v>1.8893379997042401</v>
      </c>
      <c r="L1367">
        <v>10868.731457407101</v>
      </c>
      <c r="M1367">
        <v>250</v>
      </c>
      <c r="O1367">
        <v>43.472141887852999</v>
      </c>
      <c r="P1367">
        <v>0.71885113913547305</v>
      </c>
      <c r="Q1367">
        <v>1.5</v>
      </c>
      <c r="R1367">
        <v>9.1433219831412296E-2</v>
      </c>
      <c r="S1367" t="s">
        <v>3241</v>
      </c>
      <c r="T1367" t="s">
        <v>3746</v>
      </c>
      <c r="U1367" t="s">
        <v>3746</v>
      </c>
      <c r="V1367" t="s">
        <v>3746</v>
      </c>
      <c r="W1367" t="s">
        <v>5101</v>
      </c>
      <c r="X1367">
        <v>4</v>
      </c>
      <c r="Y1367" t="s">
        <v>6893</v>
      </c>
      <c r="Z1367" t="s">
        <v>8755</v>
      </c>
      <c r="AA1367">
        <v>1.4420464205961869</v>
      </c>
      <c r="AB1367" t="str">
        <f>HYPERLINK("Melting_Curves/meltCurve_Q05707_3_COL14A1.pdf", "Melting_Curves/meltCurve_Q05707_3_COL14A1.pdf")</f>
        <v>Melting_Curves/meltCurve_Q05707_3_COL14A1.pdf</v>
      </c>
    </row>
    <row r="1368" spans="1:28" x14ac:dyDescent="0.25">
      <c r="A1368" t="s">
        <v>1372</v>
      </c>
      <c r="B1368">
        <v>1</v>
      </c>
      <c r="C1368">
        <v>1.20471322691835</v>
      </c>
      <c r="D1368">
        <v>1.9166531059070699</v>
      </c>
      <c r="E1368">
        <v>2.7501220468363998</v>
      </c>
      <c r="F1368">
        <v>1.85659126884329</v>
      </c>
      <c r="G1368">
        <v>2.0394396201014802</v>
      </c>
      <c r="H1368">
        <v>1.2030859357663799</v>
      </c>
      <c r="I1368">
        <v>1.87789398937823</v>
      </c>
      <c r="J1368">
        <v>1.8400224862050101</v>
      </c>
      <c r="K1368">
        <v>1.6657543973844999</v>
      </c>
      <c r="L1368">
        <v>10740.7158612928</v>
      </c>
      <c r="M1368">
        <v>250</v>
      </c>
      <c r="O1368">
        <v>42.960114031973802</v>
      </c>
      <c r="P1368">
        <v>0.72741892535208397</v>
      </c>
      <c r="Q1368">
        <v>1.5</v>
      </c>
      <c r="R1368">
        <v>-9.3905869626167399E-2</v>
      </c>
      <c r="S1368" t="s">
        <v>3242</v>
      </c>
      <c r="T1368" t="s">
        <v>3746</v>
      </c>
      <c r="U1368" t="s">
        <v>3746</v>
      </c>
      <c r="V1368" t="s">
        <v>3746</v>
      </c>
      <c r="W1368" t="s">
        <v>5102</v>
      </c>
      <c r="X1368">
        <v>7</v>
      </c>
      <c r="Y1368" t="s">
        <v>6894</v>
      </c>
      <c r="Z1368" t="s">
        <v>8756</v>
      </c>
      <c r="AA1368">
        <v>1.45058124297977</v>
      </c>
      <c r="AB1368" t="str">
        <f>HYPERLINK("Melting_Curves/meltCurve_Q06033_2_ITIH3.pdf", "Melting_Curves/meltCurve_Q06033_2_ITIH3.pdf")</f>
        <v>Melting_Curves/meltCurve_Q06033_2_ITIH3.pdf</v>
      </c>
    </row>
    <row r="1369" spans="1:28" x14ac:dyDescent="0.25">
      <c r="A1369" t="s">
        <v>1373</v>
      </c>
      <c r="B1369">
        <v>1</v>
      </c>
      <c r="C1369">
        <v>0.97076456373078301</v>
      </c>
      <c r="D1369">
        <v>1.55648105301044</v>
      </c>
      <c r="E1369">
        <v>2.2300375340634502</v>
      </c>
      <c r="F1369">
        <v>1.6826572060260201</v>
      </c>
      <c r="G1369">
        <v>2.2696282585222902</v>
      </c>
      <c r="H1369">
        <v>1.61581572317343</v>
      </c>
      <c r="I1369">
        <v>3.2276209573757</v>
      </c>
      <c r="J1369">
        <v>3.4116921178466799</v>
      </c>
      <c r="K1369">
        <v>3.2538433852640201</v>
      </c>
      <c r="L1369">
        <v>11085.9380509201</v>
      </c>
      <c r="M1369">
        <v>250</v>
      </c>
      <c r="O1369">
        <v>44.340912581799003</v>
      </c>
      <c r="P1369">
        <v>0.70476670113231399</v>
      </c>
      <c r="Q1369">
        <v>1.5</v>
      </c>
      <c r="R1369">
        <v>-0.44188696214890699</v>
      </c>
      <c r="S1369" t="s">
        <v>3243</v>
      </c>
      <c r="T1369" t="s">
        <v>3746</v>
      </c>
      <c r="U1369" t="s">
        <v>3746</v>
      </c>
      <c r="V1369" t="s">
        <v>3746</v>
      </c>
      <c r="W1369" t="s">
        <v>5103</v>
      </c>
      <c r="X1369">
        <v>17</v>
      </c>
      <c r="Y1369" t="s">
        <v>6895</v>
      </c>
      <c r="Z1369" t="s">
        <v>8757</v>
      </c>
      <c r="AA1369">
        <v>1.427565218641168</v>
      </c>
      <c r="AB1369" t="str">
        <f>HYPERLINK("Melting_Curves/meltCurve_Q06210_2_GFPT1.pdf", "Melting_Curves/meltCurve_Q06210_2_GFPT1.pdf")</f>
        <v>Melting_Curves/meltCurve_Q06210_2_GFPT1.pdf</v>
      </c>
    </row>
    <row r="1370" spans="1:28" x14ac:dyDescent="0.25">
      <c r="A1370" t="s">
        <v>1374</v>
      </c>
      <c r="B1370">
        <v>1</v>
      </c>
      <c r="C1370">
        <v>1.08594564650678</v>
      </c>
      <c r="D1370">
        <v>1.94391944734098</v>
      </c>
      <c r="E1370">
        <v>3.0710701251303401</v>
      </c>
      <c r="F1370">
        <v>2.0204966110531801</v>
      </c>
      <c r="G1370">
        <v>2.0213112617309701</v>
      </c>
      <c r="H1370">
        <v>1.5672575599582901</v>
      </c>
      <c r="I1370">
        <v>2.0310870698644399</v>
      </c>
      <c r="J1370">
        <v>2.2072145464025001</v>
      </c>
      <c r="K1370">
        <v>2.0208224713242999</v>
      </c>
      <c r="L1370">
        <v>10792.450539199001</v>
      </c>
      <c r="M1370">
        <v>250</v>
      </c>
      <c r="O1370">
        <v>43.167039314683002</v>
      </c>
      <c r="P1370">
        <v>0.72393197086722605</v>
      </c>
      <c r="Q1370">
        <v>1.5</v>
      </c>
      <c r="R1370">
        <v>-0.37080321511659797</v>
      </c>
      <c r="S1370" t="s">
        <v>3244</v>
      </c>
      <c r="T1370" t="s">
        <v>3746</v>
      </c>
      <c r="U1370" t="s">
        <v>3746</v>
      </c>
      <c r="V1370" t="s">
        <v>3746</v>
      </c>
      <c r="W1370" t="s">
        <v>5104</v>
      </c>
      <c r="X1370">
        <v>13</v>
      </c>
      <c r="Y1370" t="s">
        <v>6896</v>
      </c>
      <c r="Z1370" t="s">
        <v>8758</v>
      </c>
      <c r="AA1370">
        <v>1.447132082881837</v>
      </c>
      <c r="AB1370" t="str">
        <f>HYPERLINK("Melting_Curves/meltCurve_Q06481_APLP2.pdf", "Melting_Curves/meltCurve_Q06481_APLP2.pdf")</f>
        <v>Melting_Curves/meltCurve_Q06481_APLP2.pdf</v>
      </c>
    </row>
    <row r="1371" spans="1:28" x14ac:dyDescent="0.25">
      <c r="A1371" t="s">
        <v>1375</v>
      </c>
      <c r="B1371">
        <v>1</v>
      </c>
      <c r="C1371">
        <v>1.1648567415306099</v>
      </c>
      <c r="D1371">
        <v>1.64751015722938</v>
      </c>
      <c r="E1371">
        <v>2.46356235557099</v>
      </c>
      <c r="F1371">
        <v>1.8699874639399501</v>
      </c>
      <c r="G1371">
        <v>2.2146535969430099</v>
      </c>
      <c r="H1371">
        <v>1.6026522074038301</v>
      </c>
      <c r="I1371">
        <v>2.1880711081575002</v>
      </c>
      <c r="J1371">
        <v>2.29560935824435</v>
      </c>
      <c r="K1371">
        <v>1.9828120044102799</v>
      </c>
      <c r="L1371">
        <v>10755.4367214997</v>
      </c>
      <c r="M1371">
        <v>250</v>
      </c>
      <c r="O1371">
        <v>43.018993838230401</v>
      </c>
      <c r="P1371">
        <v>0.72642331424033402</v>
      </c>
      <c r="Q1371">
        <v>1.5</v>
      </c>
      <c r="R1371">
        <v>-0.38144166731294699</v>
      </c>
      <c r="S1371" t="s">
        <v>3245</v>
      </c>
      <c r="T1371" t="s">
        <v>3746</v>
      </c>
      <c r="U1371" t="s">
        <v>3746</v>
      </c>
      <c r="V1371" t="s">
        <v>3746</v>
      </c>
      <c r="W1371" t="s">
        <v>5105</v>
      </c>
      <c r="X1371">
        <v>4</v>
      </c>
      <c r="Y1371" t="s">
        <v>6897</v>
      </c>
      <c r="Z1371" t="s">
        <v>8759</v>
      </c>
      <c r="AA1371">
        <v>1.449599800636455</v>
      </c>
      <c r="AB1371" t="str">
        <f>HYPERLINK("Melting_Curves/meltCurve_Q06828_FMOD.pdf", "Melting_Curves/meltCurve_Q06828_FMOD.pdf")</f>
        <v>Melting_Curves/meltCurve_Q06828_FMOD.pdf</v>
      </c>
    </row>
    <row r="1372" spans="1:28" x14ac:dyDescent="0.25">
      <c r="A1372" t="s">
        <v>1376</v>
      </c>
      <c r="B1372">
        <v>1</v>
      </c>
      <c r="C1372">
        <v>1.10530493451515</v>
      </c>
      <c r="D1372">
        <v>1.4177272125942599</v>
      </c>
      <c r="E1372">
        <v>1.7692022754332599</v>
      </c>
      <c r="F1372">
        <v>1.2713851038497199</v>
      </c>
      <c r="G1372">
        <v>1.4703532213255699</v>
      </c>
      <c r="H1372">
        <v>0.88339727477179497</v>
      </c>
      <c r="I1372">
        <v>1.3427702076994299</v>
      </c>
      <c r="J1372">
        <v>1.3496494245270501</v>
      </c>
      <c r="K1372">
        <v>1.2642677602857499</v>
      </c>
      <c r="L1372">
        <v>10760.4809097384</v>
      </c>
      <c r="M1372">
        <v>250</v>
      </c>
      <c r="O1372">
        <v>43.039191832293497</v>
      </c>
      <c r="P1372">
        <v>0.50258588186115205</v>
      </c>
      <c r="Q1372">
        <v>1.34609406232694</v>
      </c>
      <c r="R1372">
        <v>0.25174369712142403</v>
      </c>
      <c r="S1372" t="s">
        <v>3246</v>
      </c>
      <c r="T1372" t="s">
        <v>3746</v>
      </c>
      <c r="U1372" t="s">
        <v>3746</v>
      </c>
      <c r="V1372" t="s">
        <v>3746</v>
      </c>
      <c r="W1372" t="s">
        <v>5106</v>
      </c>
      <c r="X1372">
        <v>11</v>
      </c>
      <c r="Y1372" t="s">
        <v>6898</v>
      </c>
      <c r="Z1372" t="s">
        <v>8760</v>
      </c>
      <c r="AA1372">
        <v>1.310974862113603</v>
      </c>
      <c r="AB1372" t="str">
        <f>HYPERLINK("Melting_Curves/meltCurve_Q06830_PRDX1.pdf", "Melting_Curves/meltCurve_Q06830_PRDX1.pdf")</f>
        <v>Melting_Curves/meltCurve_Q06830_PRDX1.pdf</v>
      </c>
    </row>
    <row r="1373" spans="1:28" x14ac:dyDescent="0.25">
      <c r="A1373" t="s">
        <v>1377</v>
      </c>
      <c r="B1373">
        <v>1</v>
      </c>
      <c r="C1373">
        <v>0.89235172523453599</v>
      </c>
      <c r="D1373">
        <v>1.4349771710242401</v>
      </c>
      <c r="E1373">
        <v>1.72791495354701</v>
      </c>
      <c r="F1373">
        <v>1.12804670285987</v>
      </c>
      <c r="G1373">
        <v>1.29014378847421</v>
      </c>
      <c r="H1373">
        <v>1.08191172796038</v>
      </c>
      <c r="I1373">
        <v>1.2635667719146799</v>
      </c>
      <c r="J1373">
        <v>1.2296981123503601</v>
      </c>
      <c r="K1373">
        <v>1.1678895123003901</v>
      </c>
      <c r="L1373">
        <v>11094.010950436401</v>
      </c>
      <c r="M1373">
        <v>250</v>
      </c>
      <c r="O1373">
        <v>44.373204108588702</v>
      </c>
      <c r="P1373">
        <v>0.40919740857633702</v>
      </c>
      <c r="Q1373">
        <v>1.2905184012436599</v>
      </c>
      <c r="R1373">
        <v>0.36996193352811302</v>
      </c>
      <c r="S1373" t="s">
        <v>3247</v>
      </c>
      <c r="T1373" t="s">
        <v>3746</v>
      </c>
      <c r="U1373" t="s">
        <v>3746</v>
      </c>
      <c r="V1373" t="s">
        <v>3746</v>
      </c>
      <c r="W1373" t="s">
        <v>5107</v>
      </c>
      <c r="X1373">
        <v>2</v>
      </c>
      <c r="Y1373" t="s">
        <v>6899</v>
      </c>
      <c r="Z1373" t="s">
        <v>8761</v>
      </c>
      <c r="AA1373">
        <v>1.248118400915232</v>
      </c>
      <c r="AB1373" t="str">
        <f>HYPERLINK("Melting_Curves/meltCurve_Q07065_CKAP4.pdf", "Melting_Curves/meltCurve_Q07065_CKAP4.pdf")</f>
        <v>Melting_Curves/meltCurve_Q07065_CKAP4.pdf</v>
      </c>
    </row>
    <row r="1374" spans="1:28" x14ac:dyDescent="0.25">
      <c r="A1374" t="s">
        <v>1378</v>
      </c>
      <c r="B1374">
        <v>1</v>
      </c>
      <c r="C1374">
        <v>1.27409657224323</v>
      </c>
      <c r="D1374">
        <v>1.9506601376061501</v>
      </c>
      <c r="E1374">
        <v>3.0303725283580198</v>
      </c>
      <c r="F1374">
        <v>2.41796318105746</v>
      </c>
      <c r="G1374">
        <v>3.9508460918614001</v>
      </c>
      <c r="H1374">
        <v>2.0820678113184199</v>
      </c>
      <c r="I1374">
        <v>3.66590218806174</v>
      </c>
      <c r="J1374">
        <v>3.2805429864253401</v>
      </c>
      <c r="K1374">
        <v>3.11721316556127</v>
      </c>
      <c r="S1374" t="s">
        <v>3248</v>
      </c>
      <c r="T1374" t="s">
        <v>3746</v>
      </c>
      <c r="U1374" t="s">
        <v>3747</v>
      </c>
      <c r="V1374" t="s">
        <v>3746</v>
      </c>
      <c r="W1374" t="s">
        <v>5108</v>
      </c>
      <c r="X1374">
        <v>1</v>
      </c>
      <c r="Y1374" t="s">
        <v>6900</v>
      </c>
      <c r="Z1374" t="s">
        <v>8762</v>
      </c>
      <c r="AB1374" t="str">
        <f>HYPERLINK("Melting_Curves/meltCurve_Q07960_ARHGAP1.pdf", "Melting_Curves/meltCurve_Q07960_ARHGAP1.pdf")</f>
        <v>Melting_Curves/meltCurve_Q07960_ARHGAP1.pdf</v>
      </c>
    </row>
    <row r="1375" spans="1:28" x14ac:dyDescent="0.25">
      <c r="A1375" t="s">
        <v>1379</v>
      </c>
      <c r="B1375">
        <v>1</v>
      </c>
      <c r="C1375">
        <v>1.1303461274845801</v>
      </c>
      <c r="D1375">
        <v>0.80433516106922598</v>
      </c>
      <c r="E1375">
        <v>1.46756339958876</v>
      </c>
      <c r="F1375">
        <v>1.1807916381082899</v>
      </c>
      <c r="G1375">
        <v>1.4754455106237101</v>
      </c>
      <c r="H1375">
        <v>0.91497601096641501</v>
      </c>
      <c r="I1375">
        <v>0.91142906100068499</v>
      </c>
      <c r="J1375">
        <v>1.1484749828649801</v>
      </c>
      <c r="K1375">
        <v>1.1589444825222801</v>
      </c>
      <c r="L1375">
        <v>11971.9097649508</v>
      </c>
      <c r="M1375">
        <v>250</v>
      </c>
      <c r="O1375">
        <v>47.884574524323597</v>
      </c>
      <c r="P1375">
        <v>0.23449533092549699</v>
      </c>
      <c r="Q1375">
        <v>1.17965934634422</v>
      </c>
      <c r="R1375">
        <v>0.185010035478194</v>
      </c>
      <c r="S1375" t="s">
        <v>3249</v>
      </c>
      <c r="T1375" t="s">
        <v>3746</v>
      </c>
      <c r="U1375" t="s">
        <v>3746</v>
      </c>
      <c r="V1375" t="s">
        <v>3746</v>
      </c>
      <c r="W1375" t="s">
        <v>5109</v>
      </c>
      <c r="X1375">
        <v>2</v>
      </c>
      <c r="Y1375" t="s">
        <v>6901</v>
      </c>
      <c r="Z1375" t="s">
        <v>8763</v>
      </c>
      <c r="AA1375">
        <v>1.1324079781463161</v>
      </c>
      <c r="AB1375" t="str">
        <f>HYPERLINK("Melting_Curves/meltCurve_Q08188_TGM3.pdf", "Melting_Curves/meltCurve_Q08188_TGM3.pdf")</f>
        <v>Melting_Curves/meltCurve_Q08188_TGM3.pdf</v>
      </c>
    </row>
    <row r="1376" spans="1:28" x14ac:dyDescent="0.25">
      <c r="A1376" t="s">
        <v>1380</v>
      </c>
      <c r="B1376">
        <v>1</v>
      </c>
      <c r="C1376">
        <v>1.04804038004751</v>
      </c>
      <c r="D1376">
        <v>1.51514251781473</v>
      </c>
      <c r="E1376">
        <v>1.8255542359461601</v>
      </c>
      <c r="F1376">
        <v>1.4857878068091801</v>
      </c>
      <c r="G1376">
        <v>1.60259303246239</v>
      </c>
      <c r="H1376">
        <v>0.94784243863816298</v>
      </c>
      <c r="I1376">
        <v>1.3275138558986499</v>
      </c>
      <c r="J1376">
        <v>1.4271377672209</v>
      </c>
      <c r="K1376">
        <v>1.29655581947743</v>
      </c>
      <c r="L1376">
        <v>10813.7761329605</v>
      </c>
      <c r="M1376">
        <v>250</v>
      </c>
      <c r="O1376">
        <v>43.252334915450199</v>
      </c>
      <c r="P1376">
        <v>0.61920924383362497</v>
      </c>
      <c r="Q1376">
        <v>1.4285159446792599</v>
      </c>
      <c r="R1376">
        <v>0.36502769528200602</v>
      </c>
      <c r="S1376" t="s">
        <v>3250</v>
      </c>
      <c r="T1376" t="s">
        <v>3746</v>
      </c>
      <c r="U1376" t="s">
        <v>3746</v>
      </c>
      <c r="V1376" t="s">
        <v>3746</v>
      </c>
      <c r="W1376" t="s">
        <v>5110</v>
      </c>
      <c r="X1376">
        <v>15</v>
      </c>
      <c r="Y1376" t="s">
        <v>6902</v>
      </c>
      <c r="Z1376" t="s">
        <v>8764</v>
      </c>
      <c r="AA1376">
        <v>1.381987942042296</v>
      </c>
      <c r="AB1376" t="str">
        <f>HYPERLINK("Melting_Curves/meltCurve_Q08345_2_DDR1.pdf", "Melting_Curves/meltCurve_Q08345_2_DDR1.pdf")</f>
        <v>Melting_Curves/meltCurve_Q08345_2_DDR1.pdf</v>
      </c>
    </row>
    <row r="1377" spans="1:28" x14ac:dyDescent="0.25">
      <c r="A1377" t="s">
        <v>1381</v>
      </c>
      <c r="B1377">
        <v>1</v>
      </c>
      <c r="C1377">
        <v>0.98542884565046696</v>
      </c>
      <c r="D1377">
        <v>1.2438705174068601</v>
      </c>
      <c r="E1377">
        <v>1.1367245441061</v>
      </c>
      <c r="F1377">
        <v>0.76010819300235599</v>
      </c>
      <c r="G1377">
        <v>0.88377977488875303</v>
      </c>
      <c r="H1377">
        <v>0.31777331820957999</v>
      </c>
      <c r="I1377">
        <v>0.61979757438268901</v>
      </c>
      <c r="J1377">
        <v>0.55585900008725198</v>
      </c>
      <c r="K1377">
        <v>0.53518890149201603</v>
      </c>
      <c r="L1377">
        <v>14317.0183644677</v>
      </c>
      <c r="M1377">
        <v>250</v>
      </c>
      <c r="O1377">
        <v>57.264408693943402</v>
      </c>
      <c r="P1377">
        <v>-0.53790534740681495</v>
      </c>
      <c r="Q1377">
        <v>0.50715469424792103</v>
      </c>
      <c r="R1377">
        <v>0.761878560792426</v>
      </c>
      <c r="S1377" t="s">
        <v>3251</v>
      </c>
      <c r="T1377" t="s">
        <v>3746</v>
      </c>
      <c r="U1377" t="s">
        <v>3746</v>
      </c>
      <c r="V1377" t="s">
        <v>3746</v>
      </c>
      <c r="W1377" t="s">
        <v>5111</v>
      </c>
      <c r="X1377">
        <v>18</v>
      </c>
      <c r="Y1377" t="s">
        <v>6903</v>
      </c>
      <c r="Z1377" t="s">
        <v>8765</v>
      </c>
      <c r="AA1377">
        <v>0.79088719222700132</v>
      </c>
      <c r="AB1377" t="str">
        <f>HYPERLINK("Melting_Curves/meltCurve_Q08380_LGALS3BP.pdf", "Melting_Curves/meltCurve_Q08380_LGALS3BP.pdf")</f>
        <v>Melting_Curves/meltCurve_Q08380_LGALS3BP.pdf</v>
      </c>
    </row>
    <row r="1378" spans="1:28" x14ac:dyDescent="0.25">
      <c r="A1378" t="s">
        <v>1382</v>
      </c>
      <c r="B1378">
        <v>1</v>
      </c>
      <c r="C1378">
        <v>1.2432452577050599</v>
      </c>
      <c r="D1378">
        <v>1.2625001552814299</v>
      </c>
      <c r="E1378">
        <v>1.39939626579212</v>
      </c>
      <c r="F1378">
        <v>0.97637237729661197</v>
      </c>
      <c r="G1378">
        <v>1.16428775512739</v>
      </c>
      <c r="H1378">
        <v>0.86870644355830495</v>
      </c>
      <c r="I1378">
        <v>1.2451086348898699</v>
      </c>
      <c r="J1378">
        <v>1.2383259419371699</v>
      </c>
      <c r="K1378">
        <v>1.3521907104436099</v>
      </c>
      <c r="L1378">
        <v>10250.1283812243</v>
      </c>
      <c r="M1378">
        <v>250</v>
      </c>
      <c r="O1378">
        <v>40.997907036705797</v>
      </c>
      <c r="P1378">
        <v>0.29644735344511902</v>
      </c>
      <c r="Q1378">
        <v>1.1944594549888401</v>
      </c>
      <c r="R1378">
        <v>0.12746375828270801</v>
      </c>
      <c r="S1378" t="s">
        <v>3252</v>
      </c>
      <c r="T1378" t="s">
        <v>3746</v>
      </c>
      <c r="U1378" t="s">
        <v>3746</v>
      </c>
      <c r="V1378" t="s">
        <v>3746</v>
      </c>
      <c r="W1378" t="s">
        <v>5112</v>
      </c>
      <c r="X1378">
        <v>3</v>
      </c>
      <c r="Y1378" t="s">
        <v>6904</v>
      </c>
      <c r="Z1378" t="s">
        <v>8766</v>
      </c>
      <c r="AA1378">
        <v>1.187958222008173</v>
      </c>
      <c r="AB1378" t="str">
        <f>HYPERLINK("Melting_Curves/meltCurve_Q08554_2_DSC1.pdf", "Melting_Curves/meltCurve_Q08554_2_DSC1.pdf")</f>
        <v>Melting_Curves/meltCurve_Q08554_2_DSC1.pdf</v>
      </c>
    </row>
    <row r="1379" spans="1:28" x14ac:dyDescent="0.25">
      <c r="A1379" t="s">
        <v>1383</v>
      </c>
      <c r="B1379">
        <v>1</v>
      </c>
      <c r="C1379">
        <v>0.88255949004672796</v>
      </c>
      <c r="D1379">
        <v>1.2200794100964301</v>
      </c>
      <c r="E1379">
        <v>1.45752640250655</v>
      </c>
      <c r="F1379">
        <v>0.78432325851497697</v>
      </c>
      <c r="G1379">
        <v>0.939794181994976</v>
      </c>
      <c r="H1379">
        <v>0.67501282986251798</v>
      </c>
      <c r="I1379">
        <v>1.0192582988952801</v>
      </c>
      <c r="J1379">
        <v>1.0022958701347799</v>
      </c>
      <c r="K1379">
        <v>0.90911055289954901</v>
      </c>
      <c r="L1379">
        <v>12903.5321460296</v>
      </c>
      <c r="M1379">
        <v>250</v>
      </c>
      <c r="O1379">
        <v>51.610825622974197</v>
      </c>
      <c r="P1379">
        <v>-0.13524151199085499</v>
      </c>
      <c r="Q1379">
        <v>0.88832118265493698</v>
      </c>
      <c r="R1379">
        <v>0.16926378825743299</v>
      </c>
      <c r="S1379" t="s">
        <v>3253</v>
      </c>
      <c r="T1379" t="s">
        <v>3746</v>
      </c>
      <c r="U1379" t="s">
        <v>3746</v>
      </c>
      <c r="V1379" t="s">
        <v>3746</v>
      </c>
      <c r="W1379" t="s">
        <v>5113</v>
      </c>
      <c r="X1379">
        <v>2</v>
      </c>
      <c r="Y1379" t="s">
        <v>6905</v>
      </c>
      <c r="Z1379" t="s">
        <v>8767</v>
      </c>
      <c r="AA1379">
        <v>0.93156637023697852</v>
      </c>
      <c r="AB1379" t="str">
        <f>HYPERLINK("Melting_Curves/meltCurve_Q08722_2_CD47.pdf", "Melting_Curves/meltCurve_Q08722_2_CD47.pdf")</f>
        <v>Melting_Curves/meltCurve_Q08722_2_CD47.pdf</v>
      </c>
    </row>
    <row r="1380" spans="1:28" x14ac:dyDescent="0.25">
      <c r="A1380" t="s">
        <v>1384</v>
      </c>
      <c r="B1380">
        <v>1</v>
      </c>
      <c r="C1380">
        <v>1.02574201048661</v>
      </c>
      <c r="D1380">
        <v>1.25547462573252</v>
      </c>
      <c r="E1380">
        <v>1.5524686232176299</v>
      </c>
      <c r="F1380">
        <v>1.2196256138935699</v>
      </c>
      <c r="G1380">
        <v>1.1825428835796801</v>
      </c>
      <c r="H1380">
        <v>0.72182020925763402</v>
      </c>
      <c r="I1380">
        <v>1.16334907115234</v>
      </c>
      <c r="J1380">
        <v>0.92581081401693999</v>
      </c>
      <c r="K1380">
        <v>1.05062990818288</v>
      </c>
      <c r="L1380">
        <v>15000</v>
      </c>
      <c r="M1380">
        <v>212.102272537028</v>
      </c>
      <c r="Q1380">
        <v>1.5</v>
      </c>
      <c r="R1380">
        <v>-0.26525589511183001</v>
      </c>
      <c r="S1380" t="s">
        <v>3254</v>
      </c>
      <c r="T1380" t="s">
        <v>3746</v>
      </c>
      <c r="U1380" t="s">
        <v>3746</v>
      </c>
      <c r="V1380" t="s">
        <v>3746</v>
      </c>
      <c r="W1380" t="s">
        <v>5114</v>
      </c>
      <c r="X1380">
        <v>1</v>
      </c>
      <c r="Y1380" t="s">
        <v>6906</v>
      </c>
      <c r="Z1380" t="s">
        <v>8768</v>
      </c>
      <c r="AA1380">
        <v>1.0005756869458879</v>
      </c>
      <c r="AB1380" t="str">
        <f>HYPERLINK("Melting_Curves/meltCurve_Q09666_AHNAK.pdf", "Melting_Curves/meltCurve_Q09666_AHNAK.pdf")</f>
        <v>Melting_Curves/meltCurve_Q09666_AHNAK.pdf</v>
      </c>
    </row>
    <row r="1381" spans="1:28" x14ac:dyDescent="0.25">
      <c r="A1381" t="s">
        <v>1385</v>
      </c>
      <c r="B1381">
        <v>1</v>
      </c>
      <c r="C1381">
        <v>1.0736436871747299</v>
      </c>
      <c r="D1381">
        <v>1.30120481927711</v>
      </c>
      <c r="E1381">
        <v>1.5467313039138799</v>
      </c>
      <c r="F1381">
        <v>1.1815783845440899</v>
      </c>
      <c r="G1381">
        <v>1.4688101518500001</v>
      </c>
      <c r="H1381">
        <v>0.81371640407784995</v>
      </c>
      <c r="I1381">
        <v>1.5900049903757001</v>
      </c>
      <c r="J1381">
        <v>1.5870107649533001</v>
      </c>
      <c r="K1381">
        <v>1.43287944678121</v>
      </c>
      <c r="L1381">
        <v>2027.7323666739201</v>
      </c>
      <c r="M1381">
        <v>45.756425438264998</v>
      </c>
      <c r="O1381">
        <v>44.2314043428998</v>
      </c>
      <c r="P1381">
        <v>9.6509155057640697E-2</v>
      </c>
      <c r="Q1381">
        <v>1.37316984388967</v>
      </c>
      <c r="R1381">
        <v>0.26924320058482498</v>
      </c>
      <c r="S1381" t="s">
        <v>3255</v>
      </c>
      <c r="T1381" t="s">
        <v>3746</v>
      </c>
      <c r="U1381" t="s">
        <v>3746</v>
      </c>
      <c r="V1381" t="s">
        <v>3746</v>
      </c>
      <c r="W1381" t="s">
        <v>5115</v>
      </c>
      <c r="X1381">
        <v>6</v>
      </c>
      <c r="Y1381" t="s">
        <v>6907</v>
      </c>
      <c r="Z1381" t="s">
        <v>8769</v>
      </c>
      <c r="AA1381">
        <v>1.318546121579697</v>
      </c>
      <c r="AB1381" t="str">
        <f>HYPERLINK("Melting_Curves/meltCurve_Q10471_GALNT2.pdf", "Melting_Curves/meltCurve_Q10471_GALNT2.pdf")</f>
        <v>Melting_Curves/meltCurve_Q10471_GALNT2.pdf</v>
      </c>
    </row>
    <row r="1382" spans="1:28" x14ac:dyDescent="0.25">
      <c r="A1382" t="s">
        <v>1386</v>
      </c>
      <c r="B1382">
        <v>1</v>
      </c>
      <c r="C1382">
        <v>1.0215805709505399</v>
      </c>
      <c r="D1382">
        <v>1.4163965282861</v>
      </c>
      <c r="E1382">
        <v>2.1432866255359202</v>
      </c>
      <c r="F1382">
        <v>1.8324532050611699</v>
      </c>
      <c r="G1382">
        <v>2.2993568963714299</v>
      </c>
      <c r="H1382">
        <v>1.51952839067238</v>
      </c>
      <c r="I1382">
        <v>2.43712747045906</v>
      </c>
      <c r="J1382">
        <v>2.6410383770783201</v>
      </c>
      <c r="K1382">
        <v>2.3035396841995199</v>
      </c>
      <c r="L1382">
        <v>3761.1737854161502</v>
      </c>
      <c r="M1382">
        <v>83.411215820231106</v>
      </c>
      <c r="O1382">
        <v>45.066044398924603</v>
      </c>
      <c r="P1382">
        <v>0.23135829915505701</v>
      </c>
      <c r="Q1382">
        <v>1.5</v>
      </c>
      <c r="R1382">
        <v>-0.25901653574231498</v>
      </c>
      <c r="S1382" t="s">
        <v>3256</v>
      </c>
      <c r="T1382" t="s">
        <v>3746</v>
      </c>
      <c r="U1382" t="s">
        <v>3746</v>
      </c>
      <c r="V1382" t="s">
        <v>3746</v>
      </c>
      <c r="W1382" t="s">
        <v>5116</v>
      </c>
      <c r="X1382">
        <v>3</v>
      </c>
      <c r="Y1382" t="s">
        <v>6908</v>
      </c>
      <c r="Z1382" t="s">
        <v>8770</v>
      </c>
      <c r="AA1382">
        <v>1.414778038106199</v>
      </c>
      <c r="AB1382" t="str">
        <f>HYPERLINK("Melting_Curves/meltCurve_Q10567_4_AP1B1.pdf", "Melting_Curves/meltCurve_Q10567_4_AP1B1.pdf")</f>
        <v>Melting_Curves/meltCurve_Q10567_4_AP1B1.pdf</v>
      </c>
    </row>
    <row r="1383" spans="1:28" x14ac:dyDescent="0.25">
      <c r="A1383" t="s">
        <v>1387</v>
      </c>
      <c r="B1383">
        <v>1</v>
      </c>
      <c r="C1383">
        <v>0.88356202433198205</v>
      </c>
      <c r="D1383">
        <v>1.1005777456807999</v>
      </c>
      <c r="E1383">
        <v>1.3143158713404799</v>
      </c>
      <c r="F1383">
        <v>0.66404644186434103</v>
      </c>
      <c r="G1383">
        <v>0.51658241208821698</v>
      </c>
      <c r="H1383">
        <v>0.45947447364035299</v>
      </c>
      <c r="I1383">
        <v>0.66326870729403897</v>
      </c>
      <c r="J1383">
        <v>0.73587578467862902</v>
      </c>
      <c r="K1383">
        <v>0.78573412588189595</v>
      </c>
      <c r="L1383">
        <v>13125.183766948199</v>
      </c>
      <c r="M1383">
        <v>250</v>
      </c>
      <c r="O1383">
        <v>52.4973574217276</v>
      </c>
      <c r="P1383">
        <v>-0.43789751082484601</v>
      </c>
      <c r="Q1383">
        <v>0.63218447977598202</v>
      </c>
      <c r="R1383">
        <v>0.68507145750116405</v>
      </c>
      <c r="S1383" t="s">
        <v>3257</v>
      </c>
      <c r="T1383" t="s">
        <v>3746</v>
      </c>
      <c r="U1383" t="s">
        <v>3746</v>
      </c>
      <c r="V1383" t="s">
        <v>3746</v>
      </c>
      <c r="W1383" t="s">
        <v>5117</v>
      </c>
      <c r="X1383">
        <v>1</v>
      </c>
      <c r="Y1383" t="s">
        <v>6909</v>
      </c>
      <c r="Z1383" t="s">
        <v>8771</v>
      </c>
      <c r="AA1383">
        <v>0.78548384862386356</v>
      </c>
      <c r="AB1383" t="str">
        <f>HYPERLINK("Melting_Curves/meltCurve_Q10589_BST2.pdf", "Melting_Curves/meltCurve_Q10589_BST2.pdf")</f>
        <v>Melting_Curves/meltCurve_Q10589_BST2.pdf</v>
      </c>
    </row>
    <row r="1384" spans="1:28" x14ac:dyDescent="0.25">
      <c r="A1384" t="s">
        <v>1388</v>
      </c>
      <c r="B1384">
        <v>1</v>
      </c>
      <c r="C1384">
        <v>0.98804766402673805</v>
      </c>
      <c r="D1384">
        <v>1.63874155344038</v>
      </c>
      <c r="E1384">
        <v>2.4095400712054098</v>
      </c>
      <c r="F1384">
        <v>1.8236213034948801</v>
      </c>
      <c r="G1384">
        <v>1.9452154326818301</v>
      </c>
      <c r="H1384">
        <v>1.7452953571169101</v>
      </c>
      <c r="I1384">
        <v>2.3480345854828202</v>
      </c>
      <c r="J1384">
        <v>2.62137615345492</v>
      </c>
      <c r="K1384">
        <v>2.4282859841604298</v>
      </c>
      <c r="L1384">
        <v>11046.6740273508</v>
      </c>
      <c r="M1384">
        <v>250</v>
      </c>
      <c r="O1384">
        <v>44.183868302283301</v>
      </c>
      <c r="P1384">
        <v>0.70727170639670101</v>
      </c>
      <c r="Q1384">
        <v>1.5</v>
      </c>
      <c r="R1384">
        <v>-0.34880211712319498</v>
      </c>
      <c r="S1384" t="s">
        <v>3258</v>
      </c>
      <c r="T1384" t="s">
        <v>3746</v>
      </c>
      <c r="U1384" t="s">
        <v>3746</v>
      </c>
      <c r="V1384" t="s">
        <v>3746</v>
      </c>
      <c r="W1384" t="s">
        <v>5118</v>
      </c>
      <c r="X1384">
        <v>5</v>
      </c>
      <c r="Y1384" t="s">
        <v>6910</v>
      </c>
      <c r="Z1384" t="s">
        <v>8772</v>
      </c>
      <c r="AA1384">
        <v>1.430182958027945</v>
      </c>
      <c r="AB1384" t="str">
        <f>HYPERLINK("Melting_Curves/meltCurve_Q12792_TWF1.pdf", "Melting_Curves/meltCurve_Q12792_TWF1.pdf")</f>
        <v>Melting_Curves/meltCurve_Q12792_TWF1.pdf</v>
      </c>
    </row>
    <row r="1385" spans="1:28" x14ac:dyDescent="0.25">
      <c r="A1385" t="s">
        <v>1389</v>
      </c>
      <c r="B1385">
        <v>1</v>
      </c>
      <c r="C1385">
        <v>0.92247046013630696</v>
      </c>
      <c r="D1385">
        <v>1.28642577731177</v>
      </c>
      <c r="E1385">
        <v>1.61450981973626</v>
      </c>
      <c r="F1385">
        <v>1.26856071298947</v>
      </c>
      <c r="G1385">
        <v>1.51203774650159</v>
      </c>
      <c r="H1385">
        <v>0.90450457716659305</v>
      </c>
      <c r="I1385">
        <v>1.5657740855748701</v>
      </c>
      <c r="J1385">
        <v>1.59761261442916</v>
      </c>
      <c r="K1385">
        <v>1.4172480542001</v>
      </c>
      <c r="L1385">
        <v>11461.8724283721</v>
      </c>
      <c r="M1385">
        <v>250</v>
      </c>
      <c r="O1385">
        <v>45.844568516542601</v>
      </c>
      <c r="P1385">
        <v>0.56094984770488099</v>
      </c>
      <c r="Q1385">
        <v>1.4114639453239299</v>
      </c>
      <c r="R1385">
        <v>0.443070437364256</v>
      </c>
      <c r="S1385" t="s">
        <v>3259</v>
      </c>
      <c r="T1385" t="s">
        <v>3746</v>
      </c>
      <c r="U1385" t="s">
        <v>3746</v>
      </c>
      <c r="V1385" t="s">
        <v>3746</v>
      </c>
      <c r="W1385" t="s">
        <v>5119</v>
      </c>
      <c r="X1385">
        <v>1</v>
      </c>
      <c r="Y1385" t="s">
        <v>6911</v>
      </c>
      <c r="Z1385" t="s">
        <v>8773</v>
      </c>
      <c r="AA1385">
        <v>1.331229798672064</v>
      </c>
      <c r="AB1385" t="str">
        <f>HYPERLINK("Melting_Curves/meltCurve_Q12797_10_ASPH.pdf", "Melting_Curves/meltCurve_Q12797_10_ASPH.pdf")</f>
        <v>Melting_Curves/meltCurve_Q12797_10_ASPH.pdf</v>
      </c>
    </row>
    <row r="1386" spans="1:28" x14ac:dyDescent="0.25">
      <c r="A1386" t="s">
        <v>1390</v>
      </c>
      <c r="B1386">
        <v>1</v>
      </c>
      <c r="C1386">
        <v>1.24771408679508</v>
      </c>
      <c r="D1386">
        <v>1.66187050359712</v>
      </c>
      <c r="E1386">
        <v>1.95602227895103</v>
      </c>
      <c r="F1386">
        <v>1.33369691343699</v>
      </c>
      <c r="G1386">
        <v>1.37428637734973</v>
      </c>
      <c r="H1386">
        <v>0.83954513808308195</v>
      </c>
      <c r="I1386">
        <v>1.2862845207704801</v>
      </c>
      <c r="J1386">
        <v>1.3533534462752399</v>
      </c>
      <c r="K1386">
        <v>1.2901833372012099</v>
      </c>
      <c r="L1386">
        <v>1.0000000000000001E-5</v>
      </c>
      <c r="M1386">
        <v>0.70182092977983102</v>
      </c>
      <c r="Q1386">
        <v>1.5</v>
      </c>
      <c r="R1386">
        <v>-1.7022685483425401E-9</v>
      </c>
      <c r="S1386" t="s">
        <v>3260</v>
      </c>
      <c r="T1386" t="s">
        <v>3746</v>
      </c>
      <c r="U1386" t="s">
        <v>3746</v>
      </c>
      <c r="V1386" t="s">
        <v>3746</v>
      </c>
      <c r="W1386" t="s">
        <v>5120</v>
      </c>
      <c r="X1386">
        <v>9</v>
      </c>
      <c r="Y1386" t="s">
        <v>6912</v>
      </c>
      <c r="Z1386" t="s">
        <v>8774</v>
      </c>
      <c r="AA1386">
        <v>1.334295665345903</v>
      </c>
      <c r="AB1386" t="str">
        <f>HYPERLINK("Melting_Curves/meltCurve_Q12805_2_EFEMP1.pdf", "Melting_Curves/meltCurve_Q12805_2_EFEMP1.pdf")</f>
        <v>Melting_Curves/meltCurve_Q12805_2_EFEMP1.pdf</v>
      </c>
    </row>
    <row r="1387" spans="1:28" x14ac:dyDescent="0.25">
      <c r="A1387" t="s">
        <v>1391</v>
      </c>
      <c r="B1387">
        <v>1</v>
      </c>
      <c r="C1387">
        <v>1.0380181763340499</v>
      </c>
      <c r="D1387">
        <v>1.17826183887847</v>
      </c>
      <c r="E1387">
        <v>1.44977902508754</v>
      </c>
      <c r="F1387">
        <v>0.88859454709978603</v>
      </c>
      <c r="G1387">
        <v>1.0108454749321301</v>
      </c>
      <c r="H1387">
        <v>0.65316774421989998</v>
      </c>
      <c r="I1387">
        <v>0.90017441936710696</v>
      </c>
      <c r="J1387">
        <v>0.94565459719617595</v>
      </c>
      <c r="K1387">
        <v>0.85929733912108397</v>
      </c>
      <c r="L1387">
        <v>14651.5317419533</v>
      </c>
      <c r="M1387">
        <v>250</v>
      </c>
      <c r="O1387">
        <v>58.602376543967502</v>
      </c>
      <c r="P1387">
        <v>-0.17109345049288699</v>
      </c>
      <c r="Q1387">
        <v>0.839576275172215</v>
      </c>
      <c r="R1387">
        <v>0.25559192940965603</v>
      </c>
      <c r="S1387" t="s">
        <v>3261</v>
      </c>
      <c r="T1387" t="s">
        <v>3746</v>
      </c>
      <c r="U1387" t="s">
        <v>3746</v>
      </c>
      <c r="V1387" t="s">
        <v>3746</v>
      </c>
      <c r="W1387" t="s">
        <v>5121</v>
      </c>
      <c r="X1387">
        <v>22</v>
      </c>
      <c r="Y1387" t="s">
        <v>6913</v>
      </c>
      <c r="Z1387" t="s">
        <v>8775</v>
      </c>
      <c r="AA1387">
        <v>0.93908824830119964</v>
      </c>
      <c r="AB1387" t="str">
        <f>HYPERLINK("Melting_Curves/meltCurve_Q12841_FSTL1.pdf", "Melting_Curves/meltCurve_Q12841_FSTL1.pdf")</f>
        <v>Melting_Curves/meltCurve_Q12841_FSTL1.pdf</v>
      </c>
    </row>
    <row r="1388" spans="1:28" x14ac:dyDescent="0.25">
      <c r="A1388" t="s">
        <v>1392</v>
      </c>
      <c r="B1388">
        <v>1</v>
      </c>
      <c r="C1388">
        <v>0.92604773121194595</v>
      </c>
      <c r="D1388">
        <v>1.0256433047420099</v>
      </c>
      <c r="E1388">
        <v>1.51411048397849</v>
      </c>
      <c r="F1388">
        <v>1.25932180791965</v>
      </c>
      <c r="G1388">
        <v>1.33962934980668</v>
      </c>
      <c r="H1388">
        <v>0.78507621883471801</v>
      </c>
      <c r="I1388">
        <v>1.46562375005555</v>
      </c>
      <c r="J1388">
        <v>1.5350428869827999</v>
      </c>
      <c r="K1388">
        <v>1.5113994933558501</v>
      </c>
      <c r="L1388">
        <v>11615.9143185557</v>
      </c>
      <c r="M1388">
        <v>250</v>
      </c>
      <c r="O1388">
        <v>46.4607068368759</v>
      </c>
      <c r="P1388">
        <v>0.46318040596152199</v>
      </c>
      <c r="Q1388">
        <v>1.3443148558484801</v>
      </c>
      <c r="R1388">
        <v>0.38623423647482902</v>
      </c>
      <c r="S1388" t="s">
        <v>3262</v>
      </c>
      <c r="T1388" t="s">
        <v>3746</v>
      </c>
      <c r="U1388" t="s">
        <v>3746</v>
      </c>
      <c r="V1388" t="s">
        <v>3746</v>
      </c>
      <c r="W1388" t="s">
        <v>5122</v>
      </c>
      <c r="X1388">
        <v>1</v>
      </c>
      <c r="Y1388" t="s">
        <v>6914</v>
      </c>
      <c r="Z1388" t="s">
        <v>8776</v>
      </c>
      <c r="AA1388">
        <v>1.2701023386295129</v>
      </c>
      <c r="AB1388" t="str">
        <f>HYPERLINK("Melting_Curves/meltCurve_Q12904_AIMP1.pdf", "Melting_Curves/meltCurve_Q12904_AIMP1.pdf")</f>
        <v>Melting_Curves/meltCurve_Q12904_AIMP1.pdf</v>
      </c>
    </row>
    <row r="1389" spans="1:28" x14ac:dyDescent="0.25">
      <c r="A1389" t="s">
        <v>1393</v>
      </c>
      <c r="B1389">
        <v>1</v>
      </c>
      <c r="C1389">
        <v>0.93278232267858696</v>
      </c>
      <c r="D1389">
        <v>1.2841359534452199</v>
      </c>
      <c r="E1389">
        <v>1.3811250737960701</v>
      </c>
      <c r="F1389">
        <v>1.0872902083157601</v>
      </c>
      <c r="G1389">
        <v>1.12912203761491</v>
      </c>
      <c r="H1389">
        <v>0.70576031036518505</v>
      </c>
      <c r="I1389">
        <v>1.08788057687442</v>
      </c>
      <c r="J1389">
        <v>1.03255460909168</v>
      </c>
      <c r="K1389">
        <v>1.0250484945601801</v>
      </c>
      <c r="L1389">
        <v>1756.4254686435299</v>
      </c>
      <c r="M1389">
        <v>25.484835272138898</v>
      </c>
      <c r="O1389">
        <v>68.500258080222807</v>
      </c>
      <c r="P1389">
        <v>4.5216498337247203E-3</v>
      </c>
      <c r="Q1389">
        <v>1.0486140572904801</v>
      </c>
      <c r="R1389">
        <v>-0.13981719624967001</v>
      </c>
      <c r="S1389" t="s">
        <v>3263</v>
      </c>
      <c r="T1389" t="s">
        <v>3746</v>
      </c>
      <c r="U1389" t="s">
        <v>3746</v>
      </c>
      <c r="V1389" t="s">
        <v>3746</v>
      </c>
      <c r="W1389" t="s">
        <v>5123</v>
      </c>
      <c r="X1389">
        <v>3</v>
      </c>
      <c r="Y1389" t="s">
        <v>6915</v>
      </c>
      <c r="Z1389" t="s">
        <v>8777</v>
      </c>
      <c r="AA1389">
        <v>1.0037467728559011</v>
      </c>
      <c r="AB1389" t="str">
        <f>HYPERLINK("Melting_Curves/meltCurve_Q12913_2_PTPRJ.pdf", "Melting_Curves/meltCurve_Q12913_2_PTPRJ.pdf")</f>
        <v>Melting_Curves/meltCurve_Q12913_2_PTPRJ.pdf</v>
      </c>
    </row>
    <row r="1390" spans="1:28" x14ac:dyDescent="0.25">
      <c r="A1390" t="s">
        <v>1394</v>
      </c>
      <c r="B1390">
        <v>1</v>
      </c>
      <c r="C1390">
        <v>1.3172749943323501</v>
      </c>
      <c r="D1390">
        <v>1.7434822035819499</v>
      </c>
      <c r="E1390">
        <v>2.0749263205622301</v>
      </c>
      <c r="F1390">
        <v>1.65393334844706</v>
      </c>
      <c r="G1390">
        <v>1.87202448424394</v>
      </c>
      <c r="H1390">
        <v>1.7720471548401699</v>
      </c>
      <c r="I1390">
        <v>2.5154160054409398</v>
      </c>
      <c r="J1390">
        <v>2.2842892768079799</v>
      </c>
      <c r="K1390">
        <v>2.50056676490592</v>
      </c>
      <c r="S1390" t="s">
        <v>3264</v>
      </c>
      <c r="T1390" t="s">
        <v>3746</v>
      </c>
      <c r="U1390" t="s">
        <v>3747</v>
      </c>
      <c r="V1390" t="s">
        <v>3746</v>
      </c>
      <c r="W1390" t="s">
        <v>5124</v>
      </c>
      <c r="X1390">
        <v>1</v>
      </c>
      <c r="Y1390" t="s">
        <v>6916</v>
      </c>
      <c r="Z1390" t="s">
        <v>8778</v>
      </c>
      <c r="AB1390" t="str">
        <f>HYPERLINK("Melting_Curves/meltCurve_Q13011_ECH1.pdf", "Melting_Curves/meltCurve_Q13011_ECH1.pdf")</f>
        <v>Melting_Curves/meltCurve_Q13011_ECH1.pdf</v>
      </c>
    </row>
    <row r="1391" spans="1:28" x14ac:dyDescent="0.25">
      <c r="A1391" t="s">
        <v>1395</v>
      </c>
      <c r="B1391">
        <v>1</v>
      </c>
      <c r="C1391">
        <v>0.81700721153846201</v>
      </c>
      <c r="D1391">
        <v>0.94020432692307698</v>
      </c>
      <c r="E1391">
        <v>1.2032752403846201</v>
      </c>
      <c r="F1391">
        <v>0.74033453525641002</v>
      </c>
      <c r="G1391">
        <v>0.78756009615384603</v>
      </c>
      <c r="H1391">
        <v>0.36414763621794899</v>
      </c>
      <c r="I1391">
        <v>0.68439503205128205</v>
      </c>
      <c r="J1391">
        <v>0.67888621794871795</v>
      </c>
      <c r="K1391">
        <v>0.602413862179487</v>
      </c>
      <c r="L1391">
        <v>13207.681646832199</v>
      </c>
      <c r="M1391">
        <v>250</v>
      </c>
      <c r="O1391">
        <v>52.827354411269098</v>
      </c>
      <c r="P1391">
        <v>-0.44545999164347899</v>
      </c>
      <c r="Q1391">
        <v>0.62348049619141399</v>
      </c>
      <c r="R1391">
        <v>0.62547508215521497</v>
      </c>
      <c r="S1391" t="s">
        <v>3265</v>
      </c>
      <c r="T1391" t="s">
        <v>3746</v>
      </c>
      <c r="U1391" t="s">
        <v>3746</v>
      </c>
      <c r="V1391" t="s">
        <v>3746</v>
      </c>
      <c r="W1391" t="s">
        <v>5125</v>
      </c>
      <c r="X1391">
        <v>1</v>
      </c>
      <c r="Y1391" t="s">
        <v>6917</v>
      </c>
      <c r="Z1391" t="s">
        <v>8779</v>
      </c>
      <c r="AA1391">
        <v>0.78454936626115823</v>
      </c>
      <c r="AB1391" t="str">
        <f>HYPERLINK("Melting_Curves/meltCurve_Q13113_PDZK1IP1.pdf", "Melting_Curves/meltCurve_Q13113_PDZK1IP1.pdf")</f>
        <v>Melting_Curves/meltCurve_Q13113_PDZK1IP1.pdf</v>
      </c>
    </row>
    <row r="1392" spans="1:28" x14ac:dyDescent="0.25">
      <c r="A1392" t="s">
        <v>1396</v>
      </c>
      <c r="B1392">
        <v>1</v>
      </c>
      <c r="C1392">
        <v>0.87155733600400598</v>
      </c>
      <c r="D1392">
        <v>1.15832081455517</v>
      </c>
      <c r="E1392">
        <v>1.5484059422467</v>
      </c>
      <c r="F1392">
        <v>1.02770822901018</v>
      </c>
      <c r="G1392">
        <v>0.81546486396261098</v>
      </c>
      <c r="H1392">
        <v>0.82286763478551195</v>
      </c>
      <c r="I1392">
        <v>0.94758804873977598</v>
      </c>
      <c r="J1392">
        <v>1.07594725421466</v>
      </c>
      <c r="K1392">
        <v>0.95000834585211102</v>
      </c>
      <c r="S1392" t="s">
        <v>3266</v>
      </c>
      <c r="T1392" t="s">
        <v>3746</v>
      </c>
      <c r="U1392" t="s">
        <v>3747</v>
      </c>
      <c r="V1392" t="s">
        <v>3746</v>
      </c>
      <c r="W1392" t="s">
        <v>5126</v>
      </c>
      <c r="X1392">
        <v>1</v>
      </c>
      <c r="Y1392" t="s">
        <v>6918</v>
      </c>
      <c r="Z1392" t="s">
        <v>8780</v>
      </c>
      <c r="AB1392" t="str">
        <f>HYPERLINK("Melting_Curves/meltCurve_Q13155_AIMP2.pdf", "Melting_Curves/meltCurve_Q13155_AIMP2.pdf")</f>
        <v>Melting_Curves/meltCurve_Q13155_AIMP2.pdf</v>
      </c>
    </row>
    <row r="1393" spans="1:28" x14ac:dyDescent="0.25">
      <c r="A1393" t="s">
        <v>1397</v>
      </c>
      <c r="B1393">
        <v>1</v>
      </c>
      <c r="C1393">
        <v>1.0619114510171199</v>
      </c>
      <c r="D1393">
        <v>1.29067166120389</v>
      </c>
      <c r="E1393">
        <v>1.55938816918995</v>
      </c>
      <c r="F1393">
        <v>1.2328702981114401</v>
      </c>
      <c r="G1393">
        <v>1.4708391863066399</v>
      </c>
      <c r="H1393">
        <v>0.67982935331148198</v>
      </c>
      <c r="I1393">
        <v>1.1069143124707399</v>
      </c>
      <c r="J1393">
        <v>1.0327766505384699</v>
      </c>
      <c r="K1393">
        <v>1.02559700327767</v>
      </c>
      <c r="L1393">
        <v>10750.792920586</v>
      </c>
      <c r="M1393">
        <v>250</v>
      </c>
      <c r="O1393">
        <v>43.000440184507802</v>
      </c>
      <c r="P1393">
        <v>0.25415569899025803</v>
      </c>
      <c r="Q1393">
        <v>1.1748608282850499</v>
      </c>
      <c r="R1393">
        <v>6.0490894676635203E-2</v>
      </c>
      <c r="S1393" t="s">
        <v>3267</v>
      </c>
      <c r="T1393" t="s">
        <v>3746</v>
      </c>
      <c r="U1393" t="s">
        <v>3746</v>
      </c>
      <c r="V1393" t="s">
        <v>3746</v>
      </c>
      <c r="W1393" t="s">
        <v>5127</v>
      </c>
      <c r="X1393">
        <v>6</v>
      </c>
      <c r="Y1393" t="s">
        <v>6919</v>
      </c>
      <c r="Z1393" t="s">
        <v>8781</v>
      </c>
      <c r="AA1393">
        <v>1.1573430619550431</v>
      </c>
      <c r="AB1393" t="str">
        <f>HYPERLINK("Melting_Curves/meltCurve_Q13162_PRDX4.pdf", "Melting_Curves/meltCurve_Q13162_PRDX4.pdf")</f>
        <v>Melting_Curves/meltCurve_Q13162_PRDX4.pdf</v>
      </c>
    </row>
    <row r="1394" spans="1:28" x14ac:dyDescent="0.25">
      <c r="A1394" t="s">
        <v>1398</v>
      </c>
      <c r="B1394">
        <v>1</v>
      </c>
      <c r="C1394">
        <v>0.98173020772503505</v>
      </c>
      <c r="D1394">
        <v>1.69141570034204</v>
      </c>
      <c r="E1394">
        <v>2.7579043964294701</v>
      </c>
      <c r="F1394">
        <v>2.4942854759322599</v>
      </c>
      <c r="G1394">
        <v>3.0792525235672001</v>
      </c>
      <c r="H1394">
        <v>1.89071494118629</v>
      </c>
      <c r="I1394">
        <v>2.8996412780512202</v>
      </c>
      <c r="J1394">
        <v>2.82981563360307</v>
      </c>
      <c r="K1394">
        <v>2.77367147743389</v>
      </c>
      <c r="L1394">
        <v>11048.669977031101</v>
      </c>
      <c r="M1394">
        <v>250</v>
      </c>
      <c r="O1394">
        <v>44.191851687421398</v>
      </c>
      <c r="P1394">
        <v>0.70714393728622704</v>
      </c>
      <c r="Q1394">
        <v>1.5</v>
      </c>
      <c r="R1394">
        <v>-0.87724842048400797</v>
      </c>
      <c r="S1394" t="s">
        <v>3268</v>
      </c>
      <c r="T1394" t="s">
        <v>3746</v>
      </c>
      <c r="U1394" t="s">
        <v>3746</v>
      </c>
      <c r="V1394" t="s">
        <v>3746</v>
      </c>
      <c r="W1394" t="s">
        <v>5128</v>
      </c>
      <c r="X1394">
        <v>6</v>
      </c>
      <c r="Y1394" t="s">
        <v>6920</v>
      </c>
      <c r="Z1394" t="s">
        <v>8782</v>
      </c>
      <c r="AA1394">
        <v>1.430049887710205</v>
      </c>
      <c r="AB1394" t="str">
        <f>HYPERLINK("Melting_Curves/meltCurve_Q13177_PAK2.pdf", "Melting_Curves/meltCurve_Q13177_PAK2.pdf")</f>
        <v>Melting_Curves/meltCurve_Q13177_PAK2.pdf</v>
      </c>
    </row>
    <row r="1395" spans="1:28" x14ac:dyDescent="0.25">
      <c r="A1395" t="s">
        <v>1399</v>
      </c>
      <c r="B1395">
        <v>1</v>
      </c>
      <c r="C1395">
        <v>1.0779117806618499</v>
      </c>
      <c r="D1395">
        <v>1.4663230814171799</v>
      </c>
      <c r="E1395">
        <v>1.9278679631097899</v>
      </c>
      <c r="F1395">
        <v>1.4536994533238701</v>
      </c>
      <c r="G1395">
        <v>1.7867128489755</v>
      </c>
      <c r="H1395">
        <v>1.2050870091390899</v>
      </c>
      <c r="I1395">
        <v>1.79672828944623</v>
      </c>
      <c r="J1395">
        <v>1.6711179735425401</v>
      </c>
      <c r="K1395">
        <v>1.7406000918082001</v>
      </c>
      <c r="L1395">
        <v>2905.4146377141001</v>
      </c>
      <c r="M1395">
        <v>66.014941448072406</v>
      </c>
      <c r="O1395">
        <v>43.971135926009502</v>
      </c>
      <c r="P1395">
        <v>0.18766560955304901</v>
      </c>
      <c r="Q1395">
        <v>1.5</v>
      </c>
      <c r="R1395">
        <v>0.44656525802560698</v>
      </c>
      <c r="S1395" t="s">
        <v>3269</v>
      </c>
      <c r="T1395" t="s">
        <v>3746</v>
      </c>
      <c r="U1395" t="s">
        <v>3746</v>
      </c>
      <c r="V1395" t="s">
        <v>3746</v>
      </c>
      <c r="W1395" t="s">
        <v>5129</v>
      </c>
      <c r="X1395">
        <v>3</v>
      </c>
      <c r="Y1395" t="s">
        <v>6921</v>
      </c>
      <c r="Z1395" t="s">
        <v>8783</v>
      </c>
      <c r="AA1395">
        <v>1.4325747473110511</v>
      </c>
      <c r="AB1395" t="str">
        <f>HYPERLINK("Melting_Curves/meltCurve_Q13188_STK3.pdf", "Melting_Curves/meltCurve_Q13188_STK3.pdf")</f>
        <v>Melting_Curves/meltCurve_Q13188_STK3.pdf</v>
      </c>
    </row>
    <row r="1396" spans="1:28" x14ac:dyDescent="0.25">
      <c r="A1396" t="s">
        <v>1400</v>
      </c>
      <c r="B1396">
        <v>1</v>
      </c>
      <c r="C1396">
        <v>1.1079769274057401</v>
      </c>
      <c r="D1396">
        <v>1.77954417557681</v>
      </c>
      <c r="E1396">
        <v>2.6521525042206</v>
      </c>
      <c r="F1396">
        <v>2.1020680922903798</v>
      </c>
      <c r="G1396">
        <v>2.7722284749577901</v>
      </c>
      <c r="H1396">
        <v>1.6997045582442301</v>
      </c>
      <c r="I1396">
        <v>2.7561902082160898</v>
      </c>
      <c r="J1396">
        <v>2.6761395610579601</v>
      </c>
      <c r="K1396">
        <v>2.4918401800787802</v>
      </c>
      <c r="L1396">
        <v>10780.315280025299</v>
      </c>
      <c r="M1396">
        <v>250</v>
      </c>
      <c r="O1396">
        <v>43.118501652142399</v>
      </c>
      <c r="P1396">
        <v>0.72474689156918504</v>
      </c>
      <c r="Q1396">
        <v>1.5</v>
      </c>
      <c r="R1396">
        <v>-0.78501007109918997</v>
      </c>
      <c r="S1396" t="s">
        <v>3270</v>
      </c>
      <c r="T1396" t="s">
        <v>3746</v>
      </c>
      <c r="U1396" t="s">
        <v>3746</v>
      </c>
      <c r="V1396" t="s">
        <v>3746</v>
      </c>
      <c r="W1396" t="s">
        <v>5130</v>
      </c>
      <c r="X1396">
        <v>5</v>
      </c>
      <c r="Y1396" t="s">
        <v>6922</v>
      </c>
      <c r="Z1396" t="s">
        <v>8784</v>
      </c>
      <c r="AA1396">
        <v>1.4479411427522919</v>
      </c>
      <c r="AB1396" t="str">
        <f>HYPERLINK("Melting_Curves/meltCurve_Q13200_PSMD2.pdf", "Melting_Curves/meltCurve_Q13200_PSMD2.pdf")</f>
        <v>Melting_Curves/meltCurve_Q13200_PSMD2.pdf</v>
      </c>
    </row>
    <row r="1397" spans="1:28" x14ac:dyDescent="0.25">
      <c r="A1397" t="s">
        <v>1401</v>
      </c>
      <c r="B1397">
        <v>1</v>
      </c>
      <c r="C1397">
        <v>1.1666813516013901</v>
      </c>
      <c r="D1397">
        <v>1.59044451297414</v>
      </c>
      <c r="E1397">
        <v>2.02590422485572</v>
      </c>
      <c r="F1397">
        <v>1.5132164412529201</v>
      </c>
      <c r="G1397">
        <v>1.6767478743557001</v>
      </c>
      <c r="H1397">
        <v>0.99132120357724995</v>
      </c>
      <c r="I1397">
        <v>1.61923432750341</v>
      </c>
      <c r="J1397">
        <v>1.6240142737565499</v>
      </c>
      <c r="K1397">
        <v>1.5616987532490401</v>
      </c>
      <c r="L1397">
        <v>10754.730330828401</v>
      </c>
      <c r="M1397">
        <v>250</v>
      </c>
      <c r="O1397">
        <v>43.016168487973701</v>
      </c>
      <c r="P1397">
        <v>0.72647102707333799</v>
      </c>
      <c r="Q1397">
        <v>1.5</v>
      </c>
      <c r="R1397">
        <v>0.36902363118147802</v>
      </c>
      <c r="S1397" t="s">
        <v>3271</v>
      </c>
      <c r="T1397" t="s">
        <v>3746</v>
      </c>
      <c r="U1397" t="s">
        <v>3746</v>
      </c>
      <c r="V1397" t="s">
        <v>3746</v>
      </c>
      <c r="W1397" t="s">
        <v>5131</v>
      </c>
      <c r="X1397">
        <v>6</v>
      </c>
      <c r="Y1397" t="s">
        <v>6923</v>
      </c>
      <c r="Z1397" t="s">
        <v>8785</v>
      </c>
      <c r="AA1397">
        <v>1.4496468958270079</v>
      </c>
      <c r="AB1397" t="str">
        <f>HYPERLINK("Melting_Curves/meltCurve_Q13217_DNAJC3.pdf", "Melting_Curves/meltCurve_Q13217_DNAJC3.pdf")</f>
        <v>Melting_Curves/meltCurve_Q13217_DNAJC3.pdf</v>
      </c>
    </row>
    <row r="1398" spans="1:28" x14ac:dyDescent="0.25">
      <c r="A1398" t="s">
        <v>1402</v>
      </c>
      <c r="B1398">
        <v>1</v>
      </c>
      <c r="C1398">
        <v>0.97001503006012002</v>
      </c>
      <c r="D1398">
        <v>1.2836923847695401</v>
      </c>
      <c r="E1398">
        <v>1.41032064128257</v>
      </c>
      <c r="F1398">
        <v>1.09899799599198</v>
      </c>
      <c r="G1398">
        <v>1.44689378757515</v>
      </c>
      <c r="H1398">
        <v>0.66774799599198398</v>
      </c>
      <c r="I1398">
        <v>1.1515280561122201</v>
      </c>
      <c r="J1398">
        <v>1.1279183366733501</v>
      </c>
      <c r="K1398">
        <v>1.0197394789579199</v>
      </c>
      <c r="L1398">
        <v>11067.183409102399</v>
      </c>
      <c r="M1398">
        <v>250</v>
      </c>
      <c r="O1398">
        <v>44.265900821599701</v>
      </c>
      <c r="P1398">
        <v>0.21299370342485799</v>
      </c>
      <c r="Q1398">
        <v>1.1508537299376</v>
      </c>
      <c r="R1398">
        <v>9.2494935744705603E-2</v>
      </c>
      <c r="S1398" t="s">
        <v>3272</v>
      </c>
      <c r="T1398" t="s">
        <v>3746</v>
      </c>
      <c r="U1398" t="s">
        <v>3746</v>
      </c>
      <c r="V1398" t="s">
        <v>3746</v>
      </c>
      <c r="W1398" t="s">
        <v>5132</v>
      </c>
      <c r="X1398">
        <v>24</v>
      </c>
      <c r="Y1398" t="s">
        <v>6924</v>
      </c>
      <c r="Z1398" t="s">
        <v>8786</v>
      </c>
      <c r="AA1398">
        <v>1.129376863597652</v>
      </c>
      <c r="AB1398" t="str">
        <f>HYPERLINK("Melting_Curves/meltCurve_Q13228_SELENBP1.pdf", "Melting_Curves/meltCurve_Q13228_SELENBP1.pdf")</f>
        <v>Melting_Curves/meltCurve_Q13228_SELENBP1.pdf</v>
      </c>
    </row>
    <row r="1399" spans="1:28" x14ac:dyDescent="0.25">
      <c r="A1399" t="s">
        <v>1403</v>
      </c>
      <c r="B1399">
        <v>1</v>
      </c>
      <c r="C1399">
        <v>1.0114385820280301</v>
      </c>
      <c r="D1399">
        <v>1.27962695795548</v>
      </c>
      <c r="E1399">
        <v>1.5485366859027201</v>
      </c>
      <c r="F1399">
        <v>1.31857996702391</v>
      </c>
      <c r="G1399">
        <v>1.38494435284419</v>
      </c>
      <c r="H1399">
        <v>0.78998351195383298</v>
      </c>
      <c r="I1399">
        <v>1.4370877988458399</v>
      </c>
      <c r="J1399">
        <v>1.3785552349546599</v>
      </c>
      <c r="K1399">
        <v>1.2490725474031299</v>
      </c>
      <c r="L1399">
        <v>3775.1759338105398</v>
      </c>
      <c r="M1399">
        <v>84.690755367704995</v>
      </c>
      <c r="O1399">
        <v>44.551173508259502</v>
      </c>
      <c r="P1399">
        <v>0.14298103197656101</v>
      </c>
      <c r="Q1399">
        <v>1.30085796602018</v>
      </c>
      <c r="R1399">
        <v>0.27791996468365998</v>
      </c>
      <c r="S1399" t="s">
        <v>3273</v>
      </c>
      <c r="T1399" t="s">
        <v>3746</v>
      </c>
      <c r="U1399" t="s">
        <v>3746</v>
      </c>
      <c r="V1399" t="s">
        <v>3746</v>
      </c>
      <c r="W1399" t="s">
        <v>5133</v>
      </c>
      <c r="X1399">
        <v>2</v>
      </c>
      <c r="Y1399" t="s">
        <v>6925</v>
      </c>
      <c r="Z1399" t="s">
        <v>8787</v>
      </c>
      <c r="AA1399">
        <v>1.254761301026774</v>
      </c>
      <c r="AB1399" t="str">
        <f>HYPERLINK("Melting_Curves/meltCurve_Q13232_NME3.pdf", "Melting_Curves/meltCurve_Q13232_NME3.pdf")</f>
        <v>Melting_Curves/meltCurve_Q13232_NME3.pdf</v>
      </c>
    </row>
    <row r="1400" spans="1:28" x14ac:dyDescent="0.25">
      <c r="A1400" t="s">
        <v>1404</v>
      </c>
      <c r="B1400">
        <v>1</v>
      </c>
      <c r="C1400">
        <v>0.99797723636144098</v>
      </c>
      <c r="D1400">
        <v>1.8538477794885699</v>
      </c>
      <c r="E1400">
        <v>2.9416115690003899</v>
      </c>
      <c r="F1400">
        <v>2.0979379887087499</v>
      </c>
      <c r="G1400">
        <v>2.46490354134589</v>
      </c>
      <c r="H1400">
        <v>1.59526612927573</v>
      </c>
      <c r="I1400">
        <v>2.1752256740029599</v>
      </c>
      <c r="J1400">
        <v>2.2357576306493998</v>
      </c>
      <c r="K1400">
        <v>1.99951695196691</v>
      </c>
      <c r="L1400">
        <v>10994.2645363344</v>
      </c>
      <c r="M1400">
        <v>250</v>
      </c>
      <c r="O1400">
        <v>43.974232749198599</v>
      </c>
      <c r="P1400">
        <v>0.71064325909597703</v>
      </c>
      <c r="Q1400">
        <v>1.5</v>
      </c>
      <c r="R1400">
        <v>-0.418482665953049</v>
      </c>
      <c r="S1400" t="s">
        <v>3274</v>
      </c>
      <c r="T1400" t="s">
        <v>3746</v>
      </c>
      <c r="U1400" t="s">
        <v>3746</v>
      </c>
      <c r="V1400" t="s">
        <v>3746</v>
      </c>
      <c r="W1400" t="s">
        <v>5134</v>
      </c>
      <c r="X1400">
        <v>2</v>
      </c>
      <c r="Y1400" t="s">
        <v>6926</v>
      </c>
      <c r="Z1400" t="s">
        <v>8788</v>
      </c>
      <c r="AA1400">
        <v>1.4336771080513631</v>
      </c>
      <c r="AB1400" t="str">
        <f>HYPERLINK("Melting_Curves/meltCurve_Q13287_NMI.pdf", "Melting_Curves/meltCurve_Q13287_NMI.pdf")</f>
        <v>Melting_Curves/meltCurve_Q13287_NMI.pdf</v>
      </c>
    </row>
    <row r="1401" spans="1:28" x14ac:dyDescent="0.25">
      <c r="A1401" t="s">
        <v>1405</v>
      </c>
      <c r="B1401">
        <v>1</v>
      </c>
      <c r="C1401">
        <v>0.79137214137214096</v>
      </c>
      <c r="D1401">
        <v>1.2265765765765799</v>
      </c>
      <c r="E1401">
        <v>1.4453568953569</v>
      </c>
      <c r="F1401">
        <v>0.78634788634788599</v>
      </c>
      <c r="G1401">
        <v>1.01178101178101</v>
      </c>
      <c r="H1401">
        <v>0.62609147609147597</v>
      </c>
      <c r="I1401">
        <v>0.94840609840609802</v>
      </c>
      <c r="J1401">
        <v>1.03291753291753</v>
      </c>
      <c r="K1401">
        <v>0.88877338877338896</v>
      </c>
      <c r="L1401">
        <v>8740.0262816684008</v>
      </c>
      <c r="M1401">
        <v>149.71070459667899</v>
      </c>
      <c r="O1401">
        <v>58.3690190829738</v>
      </c>
      <c r="P1401">
        <v>-8.0630206533932797E-2</v>
      </c>
      <c r="Q1401">
        <v>0.87425599217837302</v>
      </c>
      <c r="R1401">
        <v>0.117359518380386</v>
      </c>
      <c r="S1401" t="s">
        <v>3275</v>
      </c>
      <c r="T1401" t="s">
        <v>3746</v>
      </c>
      <c r="U1401" t="s">
        <v>3746</v>
      </c>
      <c r="V1401" t="s">
        <v>3746</v>
      </c>
      <c r="W1401" t="s">
        <v>5135</v>
      </c>
      <c r="X1401">
        <v>27</v>
      </c>
      <c r="Y1401" t="s">
        <v>6927</v>
      </c>
      <c r="Z1401" t="s">
        <v>8789</v>
      </c>
      <c r="AA1401">
        <v>0.95132872333515828</v>
      </c>
      <c r="AB1401" t="str">
        <f>HYPERLINK("Melting_Curves/meltCurve_Q13410_BTN1A1.pdf", "Melting_Curves/meltCurve_Q13410_BTN1A1.pdf")</f>
        <v>Melting_Curves/meltCurve_Q13410_BTN1A1.pdf</v>
      </c>
    </row>
    <row r="1402" spans="1:28" x14ac:dyDescent="0.25">
      <c r="A1402" t="s">
        <v>1406</v>
      </c>
      <c r="B1402">
        <v>1</v>
      </c>
      <c r="C1402">
        <v>1.0570218540877001</v>
      </c>
      <c r="D1402">
        <v>1.56577284851888</v>
      </c>
      <c r="E1402">
        <v>2.1764471898544602</v>
      </c>
      <c r="F1402">
        <v>1.58254948757546</v>
      </c>
      <c r="G1402">
        <v>1.7190088445879499</v>
      </c>
      <c r="H1402">
        <v>1.1015255744302499</v>
      </c>
      <c r="I1402">
        <v>1.5752257943750301</v>
      </c>
      <c r="J1402">
        <v>1.6209930272825099</v>
      </c>
      <c r="K1402">
        <v>1.4519397257709801</v>
      </c>
      <c r="L1402">
        <v>10812.9485168109</v>
      </c>
      <c r="M1402">
        <v>250</v>
      </c>
      <c r="O1402">
        <v>43.249025100155698</v>
      </c>
      <c r="P1402">
        <v>0.72255962165188903</v>
      </c>
      <c r="Q1402">
        <v>1.5</v>
      </c>
      <c r="R1402">
        <v>0.38876255155782802</v>
      </c>
      <c r="S1402" t="s">
        <v>3276</v>
      </c>
      <c r="T1402" t="s">
        <v>3746</v>
      </c>
      <c r="U1402" t="s">
        <v>3746</v>
      </c>
      <c r="V1402" t="s">
        <v>3746</v>
      </c>
      <c r="W1402" t="s">
        <v>5136</v>
      </c>
      <c r="X1402">
        <v>21</v>
      </c>
      <c r="Y1402" t="s">
        <v>6928</v>
      </c>
      <c r="Z1402" t="s">
        <v>8790</v>
      </c>
      <c r="AA1402">
        <v>1.445765479096236</v>
      </c>
      <c r="AB1402" t="str">
        <f>HYPERLINK("Melting_Curves/meltCurve_Q13438_OS9.pdf", "Melting_Curves/meltCurve_Q13438_OS9.pdf")</f>
        <v>Melting_Curves/meltCurve_Q13438_OS9.pdf</v>
      </c>
    </row>
    <row r="1403" spans="1:28" x14ac:dyDescent="0.25">
      <c r="A1403" t="s">
        <v>1407</v>
      </c>
      <c r="B1403">
        <v>1</v>
      </c>
      <c r="C1403">
        <v>1.1009986179840401</v>
      </c>
      <c r="D1403">
        <v>1.2825999732513</v>
      </c>
      <c r="E1403">
        <v>1.5093843341803801</v>
      </c>
      <c r="F1403">
        <v>0.95564174579822603</v>
      </c>
      <c r="G1403">
        <v>1.3537292140341499</v>
      </c>
      <c r="H1403">
        <v>0.61098479782443904</v>
      </c>
      <c r="I1403">
        <v>1.06785252552271</v>
      </c>
      <c r="J1403">
        <v>0.96203914225848197</v>
      </c>
      <c r="K1403">
        <v>0.89561321385582404</v>
      </c>
      <c r="L1403">
        <v>2166.2592993124599</v>
      </c>
      <c r="M1403">
        <v>36.504972149885297</v>
      </c>
      <c r="O1403">
        <v>59.164251696529398</v>
      </c>
      <c r="P1403">
        <v>-1.3471176065088099E-2</v>
      </c>
      <c r="Q1403">
        <v>0.91266837096094799</v>
      </c>
      <c r="R1403">
        <v>-4.84732360928486E-2</v>
      </c>
      <c r="S1403" t="s">
        <v>3277</v>
      </c>
      <c r="T1403" t="s">
        <v>3746</v>
      </c>
      <c r="U1403" t="s">
        <v>3746</v>
      </c>
      <c r="V1403" t="s">
        <v>3746</v>
      </c>
      <c r="W1403" t="s">
        <v>5137</v>
      </c>
      <c r="X1403">
        <v>9</v>
      </c>
      <c r="Y1403" t="s">
        <v>6929</v>
      </c>
      <c r="Z1403" t="s">
        <v>8791</v>
      </c>
      <c r="AA1403">
        <v>0.96937632535628304</v>
      </c>
      <c r="AB1403" t="str">
        <f>HYPERLINK("Melting_Curves/meltCurve_Q13444_10_ADAM15.pdf", "Melting_Curves/meltCurve_Q13444_10_ADAM15.pdf")</f>
        <v>Melting_Curves/meltCurve_Q13444_10_ADAM15.pdf</v>
      </c>
    </row>
    <row r="1404" spans="1:28" x14ac:dyDescent="0.25">
      <c r="A1404" t="s">
        <v>1408</v>
      </c>
      <c r="B1404">
        <v>1</v>
      </c>
      <c r="C1404">
        <v>0.77519528748879496</v>
      </c>
      <c r="D1404">
        <v>1.1007171212703299</v>
      </c>
      <c r="E1404">
        <v>1.2020745293891699</v>
      </c>
      <c r="F1404">
        <v>0.55447560507107196</v>
      </c>
      <c r="G1404">
        <v>3.2274298885900898</v>
      </c>
      <c r="H1404">
        <v>3.9187475989243201</v>
      </c>
      <c r="I1404">
        <v>9.4647201946471995</v>
      </c>
      <c r="J1404">
        <v>9.3232168011269092</v>
      </c>
      <c r="K1404">
        <v>7.3786656422077099</v>
      </c>
      <c r="L1404">
        <v>13695.877518315099</v>
      </c>
      <c r="M1404">
        <v>250</v>
      </c>
      <c r="O1404">
        <v>54.780004301765402</v>
      </c>
      <c r="P1404">
        <v>0.57046362884642299</v>
      </c>
      <c r="Q1404">
        <v>1.5</v>
      </c>
      <c r="R1404">
        <v>-0.43504134529854399</v>
      </c>
      <c r="S1404" t="s">
        <v>3278</v>
      </c>
      <c r="T1404" t="s">
        <v>3746</v>
      </c>
      <c r="U1404" t="s">
        <v>3746</v>
      </c>
      <c r="V1404" t="s">
        <v>3746</v>
      </c>
      <c r="W1404" t="s">
        <v>5138</v>
      </c>
      <c r="X1404">
        <v>1</v>
      </c>
      <c r="Y1404" t="s">
        <v>6930</v>
      </c>
      <c r="Z1404" t="s">
        <v>8792</v>
      </c>
      <c r="AA1404">
        <v>1.25356009334188</v>
      </c>
      <c r="AB1404" t="str">
        <f>HYPERLINK("Melting_Curves/meltCurve_Q13489_BIRC3.pdf", "Melting_Curves/meltCurve_Q13489_BIRC3.pdf")</f>
        <v>Melting_Curves/meltCurve_Q13489_BIRC3.pdf</v>
      </c>
    </row>
    <row r="1405" spans="1:28" x14ac:dyDescent="0.25">
      <c r="A1405" t="s">
        <v>1409</v>
      </c>
      <c r="B1405">
        <v>1</v>
      </c>
      <c r="C1405">
        <v>1.0051749865069399</v>
      </c>
      <c r="D1405">
        <v>1.4257140740584</v>
      </c>
      <c r="E1405">
        <v>1.9719979257722799</v>
      </c>
      <c r="F1405">
        <v>2.0289333601430801</v>
      </c>
      <c r="G1405">
        <v>2.9045537764702098</v>
      </c>
      <c r="H1405">
        <v>1.9301958875260601</v>
      </c>
      <c r="I1405">
        <v>3.2051051400632899</v>
      </c>
      <c r="J1405">
        <v>3.2553734139036798</v>
      </c>
      <c r="K1405">
        <v>2.8904786597949101</v>
      </c>
      <c r="L1405">
        <v>6716.7779154075197</v>
      </c>
      <c r="M1405">
        <v>147.762921931173</v>
      </c>
      <c r="O1405">
        <v>45.448110484434601</v>
      </c>
      <c r="P1405">
        <v>0.40640544313159099</v>
      </c>
      <c r="Q1405">
        <v>1.5</v>
      </c>
      <c r="R1405">
        <v>-0.57860531719464803</v>
      </c>
      <c r="S1405" t="s">
        <v>3279</v>
      </c>
      <c r="T1405" t="s">
        <v>3746</v>
      </c>
      <c r="U1405" t="s">
        <v>3746</v>
      </c>
      <c r="V1405" t="s">
        <v>3746</v>
      </c>
      <c r="W1405" t="s">
        <v>5139</v>
      </c>
      <c r="X1405">
        <v>6</v>
      </c>
      <c r="Y1405" t="s">
        <v>6931</v>
      </c>
      <c r="Z1405" t="s">
        <v>8793</v>
      </c>
      <c r="AA1405">
        <v>1.408944935308253</v>
      </c>
      <c r="AB1405" t="str">
        <f>HYPERLINK("Melting_Curves/meltCurve_Q13630_TSTA3.pdf", "Melting_Curves/meltCurve_Q13630_TSTA3.pdf")</f>
        <v>Melting_Curves/meltCurve_Q13630_TSTA3.pdf</v>
      </c>
    </row>
    <row r="1406" spans="1:28" x14ac:dyDescent="0.25">
      <c r="A1406" t="s">
        <v>1410</v>
      </c>
      <c r="B1406">
        <v>1</v>
      </c>
      <c r="C1406">
        <v>0.98504342232229003</v>
      </c>
      <c r="D1406">
        <v>1.2166827490082599</v>
      </c>
      <c r="E1406">
        <v>1.2625174225367199</v>
      </c>
      <c r="F1406">
        <v>1.1458668382116399</v>
      </c>
      <c r="G1406">
        <v>1.1436689181944899</v>
      </c>
      <c r="H1406">
        <v>0.60721561059290197</v>
      </c>
      <c r="I1406">
        <v>0.978664093492012</v>
      </c>
      <c r="J1406">
        <v>0.96890747292805801</v>
      </c>
      <c r="K1406">
        <v>0.85483006325721</v>
      </c>
      <c r="L1406">
        <v>2464.6037707813398</v>
      </c>
      <c r="M1406">
        <v>42.070475804998502</v>
      </c>
      <c r="O1406">
        <v>58.450843808551397</v>
      </c>
      <c r="P1406">
        <v>-2.3891597507481099E-2</v>
      </c>
      <c r="Q1406">
        <v>0.86722454842089303</v>
      </c>
      <c r="R1406">
        <v>0.18838785891932899</v>
      </c>
      <c r="S1406" t="s">
        <v>3280</v>
      </c>
      <c r="T1406" t="s">
        <v>3746</v>
      </c>
      <c r="U1406" t="s">
        <v>3746</v>
      </c>
      <c r="V1406" t="s">
        <v>3746</v>
      </c>
      <c r="W1406" t="s">
        <v>5140</v>
      </c>
      <c r="X1406">
        <v>4</v>
      </c>
      <c r="Y1406" t="s">
        <v>6932</v>
      </c>
      <c r="Z1406" t="s">
        <v>8794</v>
      </c>
      <c r="AA1406">
        <v>0.94994492695999833</v>
      </c>
      <c r="AB1406" t="str">
        <f>HYPERLINK("Melting_Curves/meltCurve_Q13740_2_ALCAM.pdf", "Melting_Curves/meltCurve_Q13740_2_ALCAM.pdf")</f>
        <v>Melting_Curves/meltCurve_Q13740_2_ALCAM.pdf</v>
      </c>
    </row>
    <row r="1407" spans="1:28" x14ac:dyDescent="0.25">
      <c r="A1407" t="s">
        <v>1411</v>
      </c>
      <c r="B1407">
        <v>1</v>
      </c>
      <c r="C1407">
        <v>1.20261899750428</v>
      </c>
      <c r="D1407">
        <v>1.6755870944462801</v>
      </c>
      <c r="E1407">
        <v>2.22163754998948</v>
      </c>
      <c r="F1407">
        <v>1.4384340138918099</v>
      </c>
      <c r="G1407">
        <v>1.57876537270349</v>
      </c>
      <c r="H1407">
        <v>1.0644074931593399</v>
      </c>
      <c r="I1407">
        <v>1.55110202363412</v>
      </c>
      <c r="J1407">
        <v>1.52539315031422</v>
      </c>
      <c r="K1407">
        <v>1.5456896292509801</v>
      </c>
      <c r="L1407">
        <v>10741.4601665631</v>
      </c>
      <c r="M1407">
        <v>250</v>
      </c>
      <c r="O1407">
        <v>42.963091058419003</v>
      </c>
      <c r="P1407">
        <v>0.72736852049729805</v>
      </c>
      <c r="Q1407">
        <v>1.5</v>
      </c>
      <c r="R1407">
        <v>0.30660207289538299</v>
      </c>
      <c r="S1407" t="s">
        <v>3281</v>
      </c>
      <c r="T1407" t="s">
        <v>3746</v>
      </c>
      <c r="U1407" t="s">
        <v>3746</v>
      </c>
      <c r="V1407" t="s">
        <v>3746</v>
      </c>
      <c r="W1407" t="s">
        <v>5141</v>
      </c>
      <c r="X1407">
        <v>4</v>
      </c>
      <c r="Y1407" t="s">
        <v>6933</v>
      </c>
      <c r="Z1407" t="s">
        <v>8795</v>
      </c>
      <c r="AA1407">
        <v>1.4505316200163421</v>
      </c>
      <c r="AB1407" t="str">
        <f>HYPERLINK("Melting_Curves/meltCurve_Q13751_LAMB3.pdf", "Melting_Curves/meltCurve_Q13751_LAMB3.pdf")</f>
        <v>Melting_Curves/meltCurve_Q13751_LAMB3.pdf</v>
      </c>
    </row>
    <row r="1408" spans="1:28" x14ac:dyDescent="0.25">
      <c r="A1408" t="s">
        <v>1412</v>
      </c>
      <c r="B1408">
        <v>1</v>
      </c>
      <c r="C1408">
        <v>1.2007393161325799</v>
      </c>
      <c r="D1408">
        <v>1.8898019332117799</v>
      </c>
      <c r="E1408">
        <v>2.59360091914979</v>
      </c>
      <c r="F1408">
        <v>1.83108124984389</v>
      </c>
      <c r="G1408">
        <v>1.8577815520643399</v>
      </c>
      <c r="H1408">
        <v>1.7920173839198701</v>
      </c>
      <c r="I1408">
        <v>1.8868296825436499</v>
      </c>
      <c r="J1408">
        <v>1.89489722007143</v>
      </c>
      <c r="K1408">
        <v>1.8682218947473599</v>
      </c>
      <c r="L1408">
        <v>1.0000000000000001E-5</v>
      </c>
      <c r="M1408">
        <v>27.3524315796076</v>
      </c>
      <c r="Q1408">
        <v>1.5</v>
      </c>
      <c r="R1408">
        <v>-0.47760515255052199</v>
      </c>
      <c r="S1408" t="s">
        <v>3282</v>
      </c>
      <c r="T1408" t="s">
        <v>3746</v>
      </c>
      <c r="U1408" t="s">
        <v>3746</v>
      </c>
      <c r="V1408" t="s">
        <v>3746</v>
      </c>
      <c r="W1408" t="s">
        <v>5142</v>
      </c>
      <c r="X1408">
        <v>3</v>
      </c>
      <c r="Y1408" t="s">
        <v>6934</v>
      </c>
      <c r="Z1408" t="s">
        <v>8796</v>
      </c>
      <c r="AA1408">
        <v>1.499999999999339</v>
      </c>
      <c r="AB1408" t="str">
        <f>HYPERLINK("Melting_Curves/meltCurve_Q13753_2_LAMC2.pdf", "Melting_Curves/meltCurve_Q13753_2_LAMC2.pdf")</f>
        <v>Melting_Curves/meltCurve_Q13753_2_LAMC2.pdf</v>
      </c>
    </row>
    <row r="1409" spans="1:28" x14ac:dyDescent="0.25">
      <c r="A1409" t="s">
        <v>1413</v>
      </c>
      <c r="B1409">
        <v>1</v>
      </c>
      <c r="C1409">
        <v>1.18550377739547</v>
      </c>
      <c r="D1409">
        <v>0.93604607674470797</v>
      </c>
      <c r="E1409">
        <v>1.1210262547684899</v>
      </c>
      <c r="F1409">
        <v>0.65372129553444502</v>
      </c>
      <c r="G1409">
        <v>1.11908145710225</v>
      </c>
      <c r="H1409">
        <v>0.78584785698257198</v>
      </c>
      <c r="I1409">
        <v>0.99386640736031095</v>
      </c>
      <c r="J1409">
        <v>1.1247662502805</v>
      </c>
      <c r="K1409">
        <v>1.51245418505498</v>
      </c>
      <c r="L1409">
        <v>15000</v>
      </c>
      <c r="M1409">
        <v>222.77963313137101</v>
      </c>
      <c r="O1409">
        <v>67.325684244428899</v>
      </c>
      <c r="P1409">
        <v>0.41362304025581997</v>
      </c>
      <c r="Q1409">
        <v>1.5</v>
      </c>
      <c r="R1409">
        <v>0.52642357678474905</v>
      </c>
      <c r="S1409" t="s">
        <v>3283</v>
      </c>
      <c r="T1409" t="s">
        <v>3746</v>
      </c>
      <c r="U1409" t="s">
        <v>3746</v>
      </c>
      <c r="V1409" t="s">
        <v>3746</v>
      </c>
      <c r="W1409" t="s">
        <v>5143</v>
      </c>
      <c r="X1409">
        <v>1</v>
      </c>
      <c r="Y1409" t="s">
        <v>6935</v>
      </c>
      <c r="Z1409" t="s">
        <v>8797</v>
      </c>
      <c r="AA1409">
        <v>1.044408216911527</v>
      </c>
      <c r="AB1409" t="str">
        <f>HYPERLINK("Melting_Curves/meltCurve_Q13835_2_PKP1.pdf", "Melting_Curves/meltCurve_Q13835_2_PKP1.pdf")</f>
        <v>Melting_Curves/meltCurve_Q13835_2_PKP1.pdf</v>
      </c>
    </row>
    <row r="1410" spans="1:28" x14ac:dyDescent="0.25">
      <c r="A1410" t="s">
        <v>1414</v>
      </c>
      <c r="B1410">
        <v>1</v>
      </c>
      <c r="C1410">
        <v>1.3090114843171201</v>
      </c>
      <c r="D1410">
        <v>2.1912817979748098</v>
      </c>
      <c r="E1410">
        <v>2.8724685107433898</v>
      </c>
      <c r="F1410">
        <v>2.21597925413682</v>
      </c>
      <c r="G1410">
        <v>2.5322610521116302</v>
      </c>
      <c r="H1410">
        <v>1.4014725858236601</v>
      </c>
      <c r="I1410">
        <v>2.71208940479131</v>
      </c>
      <c r="J1410">
        <v>2.0849283773771301</v>
      </c>
      <c r="K1410">
        <v>2.0508150160533498</v>
      </c>
      <c r="L1410">
        <v>1703.1672665782301</v>
      </c>
      <c r="M1410">
        <v>62.908149000570901</v>
      </c>
      <c r="Q1410">
        <v>1.5</v>
      </c>
      <c r="R1410">
        <v>-0.831946682090422</v>
      </c>
      <c r="S1410" t="s">
        <v>3284</v>
      </c>
      <c r="T1410" t="s">
        <v>3746</v>
      </c>
      <c r="U1410" t="s">
        <v>3746</v>
      </c>
      <c r="V1410" t="s">
        <v>3746</v>
      </c>
      <c r="W1410" t="s">
        <v>5144</v>
      </c>
      <c r="X1410">
        <v>3</v>
      </c>
      <c r="Y1410" t="s">
        <v>6936</v>
      </c>
      <c r="Z1410" t="s">
        <v>8798</v>
      </c>
      <c r="AA1410">
        <v>1.4999999999756</v>
      </c>
      <c r="AB1410" t="str">
        <f>HYPERLINK("Melting_Curves/meltCurve_Q13907_IDI1.pdf", "Melting_Curves/meltCurve_Q13907_IDI1.pdf")</f>
        <v>Melting_Curves/meltCurve_Q13907_IDI1.pdf</v>
      </c>
    </row>
    <row r="1411" spans="1:28" x14ac:dyDescent="0.25">
      <c r="A1411" t="s">
        <v>1415</v>
      </c>
      <c r="B1411">
        <v>1</v>
      </c>
      <c r="C1411">
        <v>0.89762611275964399</v>
      </c>
      <c r="D1411">
        <v>1.2274076072295701</v>
      </c>
      <c r="E1411">
        <v>1.50114647963313</v>
      </c>
      <c r="F1411">
        <v>0.93181818181818199</v>
      </c>
      <c r="G1411">
        <v>0.93252630159158401</v>
      </c>
      <c r="H1411">
        <v>0.58025357431885605</v>
      </c>
      <c r="I1411">
        <v>1.01911923388185</v>
      </c>
      <c r="J1411">
        <v>0.99160372268680896</v>
      </c>
      <c r="K1411">
        <v>0.84165093067170205</v>
      </c>
      <c r="L1411">
        <v>14255.5463576948</v>
      </c>
      <c r="M1411">
        <v>250</v>
      </c>
      <c r="O1411">
        <v>57.018536445357498</v>
      </c>
      <c r="P1411">
        <v>-0.155479177371495</v>
      </c>
      <c r="Q1411">
        <v>0.85815687804291696</v>
      </c>
      <c r="R1411">
        <v>0.161252544503381</v>
      </c>
      <c r="S1411" t="s">
        <v>3285</v>
      </c>
      <c r="T1411" t="s">
        <v>3746</v>
      </c>
      <c r="U1411" t="s">
        <v>3746</v>
      </c>
      <c r="V1411" t="s">
        <v>3746</v>
      </c>
      <c r="W1411" t="s">
        <v>5145</v>
      </c>
      <c r="X1411">
        <v>1</v>
      </c>
      <c r="Y1411" t="s">
        <v>6937</v>
      </c>
      <c r="Z1411" t="s">
        <v>8799</v>
      </c>
      <c r="AA1411">
        <v>0.93865373685093456</v>
      </c>
      <c r="AB1411" t="str">
        <f>HYPERLINK("Melting_Curves/meltCurve_Q14011_CIRBP.pdf", "Melting_Curves/meltCurve_Q14011_CIRBP.pdf")</f>
        <v>Melting_Curves/meltCurve_Q14011_CIRBP.pdf</v>
      </c>
    </row>
    <row r="1412" spans="1:28" x14ac:dyDescent="0.25">
      <c r="A1412" t="s">
        <v>1416</v>
      </c>
      <c r="B1412">
        <v>1</v>
      </c>
      <c r="C1412">
        <v>1.14400209428301</v>
      </c>
      <c r="D1412">
        <v>1.6919390241446699</v>
      </c>
      <c r="E1412">
        <v>2.31206830584587</v>
      </c>
      <c r="F1412">
        <v>1.6252844398799799</v>
      </c>
      <c r="G1412">
        <v>1.7637286292515</v>
      </c>
      <c r="H1412">
        <v>1.54231861294025</v>
      </c>
      <c r="I1412">
        <v>1.86149539861858</v>
      </c>
      <c r="J1412">
        <v>1.8447814092108199</v>
      </c>
      <c r="K1412">
        <v>1.8531384039147001</v>
      </c>
      <c r="L1412">
        <v>10763.8286205696</v>
      </c>
      <c r="M1412">
        <v>250</v>
      </c>
      <c r="O1412">
        <v>43.052559388755903</v>
      </c>
      <c r="P1412">
        <v>0.72585696639595398</v>
      </c>
      <c r="Q1412">
        <v>1.5</v>
      </c>
      <c r="R1412">
        <v>8.5467041525452495E-2</v>
      </c>
      <c r="S1412" t="s">
        <v>3286</v>
      </c>
      <c r="T1412" t="s">
        <v>3746</v>
      </c>
      <c r="U1412" t="s">
        <v>3746</v>
      </c>
      <c r="V1412" t="s">
        <v>3746</v>
      </c>
      <c r="W1412" t="s">
        <v>5146</v>
      </c>
      <c r="X1412">
        <v>2</v>
      </c>
      <c r="Y1412" t="s">
        <v>6938</v>
      </c>
      <c r="Z1412" t="s">
        <v>8800</v>
      </c>
      <c r="AA1412">
        <v>1.4490403112460919</v>
      </c>
      <c r="AB1412" t="str">
        <f>HYPERLINK("Melting_Curves/meltCurve_Q14019_COTL1.pdf", "Melting_Curves/meltCurve_Q14019_COTL1.pdf")</f>
        <v>Melting_Curves/meltCurve_Q14019_COTL1.pdf</v>
      </c>
    </row>
    <row r="1413" spans="1:28" x14ac:dyDescent="0.25">
      <c r="A1413" t="s">
        <v>1417</v>
      </c>
      <c r="B1413">
        <v>1</v>
      </c>
      <c r="C1413">
        <v>1.02549340625731</v>
      </c>
      <c r="D1413">
        <v>1.3052372128168701</v>
      </c>
      <c r="E1413">
        <v>1.53494773581851</v>
      </c>
      <c r="F1413">
        <v>1.0103268985121301</v>
      </c>
      <c r="G1413">
        <v>1.33184606804239</v>
      </c>
      <c r="H1413">
        <v>0.65327528201068696</v>
      </c>
      <c r="I1413">
        <v>1.13612075634636</v>
      </c>
      <c r="J1413">
        <v>1.0874547973301201</v>
      </c>
      <c r="K1413">
        <v>0.99539427522803703</v>
      </c>
      <c r="L1413">
        <v>10786.267073311399</v>
      </c>
      <c r="M1413">
        <v>250</v>
      </c>
      <c r="O1413">
        <v>43.1423154282325</v>
      </c>
      <c r="P1413">
        <v>0.19097462132367399</v>
      </c>
      <c r="Q1413">
        <v>1.1318253726977701</v>
      </c>
      <c r="R1413">
        <v>4.4257155289791503E-2</v>
      </c>
      <c r="S1413" t="s">
        <v>3287</v>
      </c>
      <c r="T1413" t="s">
        <v>3746</v>
      </c>
      <c r="U1413" t="s">
        <v>3746</v>
      </c>
      <c r="V1413" t="s">
        <v>3746</v>
      </c>
      <c r="W1413" t="s">
        <v>5147</v>
      </c>
      <c r="X1413">
        <v>12</v>
      </c>
      <c r="Y1413" t="s">
        <v>6939</v>
      </c>
      <c r="Z1413" t="s">
        <v>8801</v>
      </c>
      <c r="AA1413">
        <v>1.117995397690029</v>
      </c>
      <c r="AB1413" t="str">
        <f>HYPERLINK("Melting_Curves/meltCurve_Q14118_DAG1.pdf", "Melting_Curves/meltCurve_Q14118_DAG1.pdf")</f>
        <v>Melting_Curves/meltCurve_Q14118_DAG1.pdf</v>
      </c>
    </row>
    <row r="1414" spans="1:28" x14ac:dyDescent="0.25">
      <c r="A1414" t="s">
        <v>1418</v>
      </c>
      <c r="B1414">
        <v>1</v>
      </c>
      <c r="C1414">
        <v>1.01366144145722</v>
      </c>
      <c r="D1414">
        <v>1.3055433925913</v>
      </c>
      <c r="E1414">
        <v>1.5023206935808699</v>
      </c>
      <c r="F1414">
        <v>1.19896663455644</v>
      </c>
      <c r="G1414">
        <v>1.47158245030213</v>
      </c>
      <c r="H1414">
        <v>0.81697171381031597</v>
      </c>
      <c r="I1414">
        <v>1.3005517120588499</v>
      </c>
      <c r="J1414">
        <v>1.14326998861547</v>
      </c>
      <c r="K1414">
        <v>1.1689289780190899</v>
      </c>
      <c r="L1414">
        <v>10845.155247233</v>
      </c>
      <c r="M1414">
        <v>250</v>
      </c>
      <c r="O1414">
        <v>43.377845358720002</v>
      </c>
      <c r="P1414">
        <v>0.343661831825815</v>
      </c>
      <c r="Q1414">
        <v>1.2385169540377099</v>
      </c>
      <c r="R1414">
        <v>0.208985532787374</v>
      </c>
      <c r="S1414" t="s">
        <v>3288</v>
      </c>
      <c r="T1414" t="s">
        <v>3746</v>
      </c>
      <c r="U1414" t="s">
        <v>3746</v>
      </c>
      <c r="V1414" t="s">
        <v>3746</v>
      </c>
      <c r="W1414" t="s">
        <v>5148</v>
      </c>
      <c r="X1414">
        <v>5</v>
      </c>
      <c r="Y1414" t="s">
        <v>6940</v>
      </c>
      <c r="Z1414" t="s">
        <v>8802</v>
      </c>
      <c r="AA1414">
        <v>1.2116209478212689</v>
      </c>
      <c r="AB1414" t="str">
        <f>HYPERLINK("Melting_Curves/meltCurve_Q14126_DSG2.pdf", "Melting_Curves/meltCurve_Q14126_DSG2.pdf")</f>
        <v>Melting_Curves/meltCurve_Q14126_DSG2.pdf</v>
      </c>
    </row>
    <row r="1415" spans="1:28" x14ac:dyDescent="0.25">
      <c r="A1415" t="s">
        <v>1419</v>
      </c>
      <c r="B1415">
        <v>1</v>
      </c>
      <c r="C1415">
        <v>1.0589794115648601</v>
      </c>
      <c r="D1415">
        <v>2.08534348032887</v>
      </c>
      <c r="E1415">
        <v>3.8615206903580899</v>
      </c>
      <c r="F1415">
        <v>3.1168036964055199</v>
      </c>
      <c r="G1415">
        <v>3.7258952232112499</v>
      </c>
      <c r="H1415">
        <v>2.2452945573146699</v>
      </c>
      <c r="I1415">
        <v>3.5478698104233199</v>
      </c>
      <c r="J1415">
        <v>3.5172929265475301</v>
      </c>
      <c r="K1415">
        <v>3.3557110824216898</v>
      </c>
      <c r="L1415">
        <v>10811.309298898799</v>
      </c>
      <c r="M1415">
        <v>250</v>
      </c>
      <c r="O1415">
        <v>43.242469626197398</v>
      </c>
      <c r="P1415">
        <v>0.72266917663044705</v>
      </c>
      <c r="Q1415">
        <v>1.5</v>
      </c>
      <c r="R1415">
        <v>-1.4447068654870501</v>
      </c>
      <c r="S1415" t="s">
        <v>3289</v>
      </c>
      <c r="T1415" t="s">
        <v>3746</v>
      </c>
      <c r="U1415" t="s">
        <v>3746</v>
      </c>
      <c r="V1415" t="s">
        <v>3746</v>
      </c>
      <c r="W1415" t="s">
        <v>5149</v>
      </c>
      <c r="X1415">
        <v>13</v>
      </c>
      <c r="Y1415" t="s">
        <v>6941</v>
      </c>
      <c r="Z1415" t="s">
        <v>8803</v>
      </c>
      <c r="AA1415">
        <v>1.445874766043826</v>
      </c>
      <c r="AB1415" t="str">
        <f>HYPERLINK("Melting_Curves/meltCurve_Q14195_DPYSL3.pdf", "Melting_Curves/meltCurve_Q14195_DPYSL3.pdf")</f>
        <v>Melting_Curves/meltCurve_Q14195_DPYSL3.pdf</v>
      </c>
    </row>
    <row r="1416" spans="1:28" x14ac:dyDescent="0.25">
      <c r="A1416" t="s">
        <v>1420</v>
      </c>
      <c r="B1416">
        <v>1</v>
      </c>
      <c r="C1416">
        <v>1.02184994556072</v>
      </c>
      <c r="D1416">
        <v>1.5407057309709999</v>
      </c>
      <c r="E1416">
        <v>1.8879540730476101</v>
      </c>
      <c r="F1416">
        <v>1.2905820053449499</v>
      </c>
      <c r="G1416">
        <v>1.5134860932396299</v>
      </c>
      <c r="H1416">
        <v>1.26561417400772</v>
      </c>
      <c r="I1416">
        <v>2.25061862813026</v>
      </c>
      <c r="J1416">
        <v>2.5475106404038401</v>
      </c>
      <c r="K1416">
        <v>2.5160843313867201</v>
      </c>
      <c r="L1416">
        <v>10857.376058652801</v>
      </c>
      <c r="M1416">
        <v>250</v>
      </c>
      <c r="O1416">
        <v>43.426724914290602</v>
      </c>
      <c r="P1416">
        <v>0.71960296365589405</v>
      </c>
      <c r="Q1416">
        <v>1.5</v>
      </c>
      <c r="R1416">
        <v>4.60482030207848E-2</v>
      </c>
      <c r="S1416" t="s">
        <v>3290</v>
      </c>
      <c r="T1416" t="s">
        <v>3746</v>
      </c>
      <c r="U1416" t="s">
        <v>3746</v>
      </c>
      <c r="V1416" t="s">
        <v>3746</v>
      </c>
      <c r="W1416" t="s">
        <v>5150</v>
      </c>
      <c r="X1416">
        <v>17</v>
      </c>
      <c r="Y1416" t="s">
        <v>6942</v>
      </c>
      <c r="Z1416" t="s">
        <v>8804</v>
      </c>
      <c r="AA1416">
        <v>1.44280348703662</v>
      </c>
      <c r="AB1416" t="str">
        <f>HYPERLINK("Melting_Curves/meltCurve_Q14204_DYNC1H1.pdf", "Melting_Curves/meltCurve_Q14204_DYNC1H1.pdf")</f>
        <v>Melting_Curves/meltCurve_Q14204_DYNC1H1.pdf</v>
      </c>
    </row>
    <row r="1417" spans="1:28" x14ac:dyDescent="0.25">
      <c r="A1417" t="s">
        <v>1421</v>
      </c>
      <c r="B1417">
        <v>1</v>
      </c>
      <c r="C1417">
        <v>1.1471283870636</v>
      </c>
      <c r="D1417">
        <v>1.7955936037842599</v>
      </c>
      <c r="E1417">
        <v>2.1420124427991198</v>
      </c>
      <c r="F1417">
        <v>1.6472055118515101</v>
      </c>
      <c r="G1417">
        <v>1.9343410972286501</v>
      </c>
      <c r="H1417">
        <v>1.2899120777417901</v>
      </c>
      <c r="I1417">
        <v>2.2168491953313798</v>
      </c>
      <c r="J1417">
        <v>2.3356727852331698</v>
      </c>
      <c r="K1417">
        <v>1.98737724304591</v>
      </c>
      <c r="L1417">
        <v>10762.528804469701</v>
      </c>
      <c r="M1417">
        <v>250</v>
      </c>
      <c r="O1417">
        <v>43.047360402970902</v>
      </c>
      <c r="P1417">
        <v>0.72594462986140795</v>
      </c>
      <c r="Q1417">
        <v>1.5</v>
      </c>
      <c r="R1417">
        <v>-0.127109180125099</v>
      </c>
      <c r="S1417" t="s">
        <v>3291</v>
      </c>
      <c r="T1417" t="s">
        <v>3746</v>
      </c>
      <c r="U1417" t="s">
        <v>3746</v>
      </c>
      <c r="V1417" t="s">
        <v>3746</v>
      </c>
      <c r="W1417" t="s">
        <v>5151</v>
      </c>
      <c r="X1417">
        <v>7</v>
      </c>
      <c r="Y1417" t="s">
        <v>6943</v>
      </c>
      <c r="Z1417" t="s">
        <v>8805</v>
      </c>
      <c r="AA1417">
        <v>1.449126970214651</v>
      </c>
      <c r="AB1417" t="str">
        <f>HYPERLINK("Melting_Curves/meltCurve_Q14240_EIF4A2.pdf", "Melting_Curves/meltCurve_Q14240_EIF4A2.pdf")</f>
        <v>Melting_Curves/meltCurve_Q14240_EIF4A2.pdf</v>
      </c>
    </row>
    <row r="1418" spans="1:28" x14ac:dyDescent="0.25">
      <c r="A1418" t="s">
        <v>1422</v>
      </c>
      <c r="B1418">
        <v>1</v>
      </c>
      <c r="C1418">
        <v>1.00074193548387</v>
      </c>
      <c r="D1418">
        <v>1.31841935483871</v>
      </c>
      <c r="E1418">
        <v>1.8003548387096799</v>
      </c>
      <c r="F1418">
        <v>1.1441935483871</v>
      </c>
      <c r="G1418">
        <v>1.1267741935483899</v>
      </c>
      <c r="H1418">
        <v>1.0187741935483901</v>
      </c>
      <c r="I1418">
        <v>1.2217419354838699</v>
      </c>
      <c r="J1418">
        <v>1.3965161290322601</v>
      </c>
      <c r="K1418">
        <v>1.28522580645161</v>
      </c>
      <c r="L1418">
        <v>10975.0898377094</v>
      </c>
      <c r="M1418">
        <v>250</v>
      </c>
      <c r="O1418">
        <v>43.897550031600296</v>
      </c>
      <c r="P1418">
        <v>0.41146988984897698</v>
      </c>
      <c r="Q1418">
        <v>1.28900032079674</v>
      </c>
      <c r="R1418">
        <v>0.25052499672466</v>
      </c>
      <c r="S1418" t="s">
        <v>3292</v>
      </c>
      <c r="T1418" t="s">
        <v>3746</v>
      </c>
      <c r="U1418" t="s">
        <v>3746</v>
      </c>
      <c r="V1418" t="s">
        <v>3746</v>
      </c>
      <c r="W1418" t="s">
        <v>5152</v>
      </c>
      <c r="X1418">
        <v>7</v>
      </c>
      <c r="Y1418" t="s">
        <v>6944</v>
      </c>
      <c r="Z1418" t="s">
        <v>8806</v>
      </c>
      <c r="AA1418">
        <v>1.2514045514728569</v>
      </c>
      <c r="AB1418" t="str">
        <f>HYPERLINK("Melting_Curves/meltCurve_Q14247_CTTN.pdf", "Melting_Curves/meltCurve_Q14247_CTTN.pdf")</f>
        <v>Melting_Curves/meltCurve_Q14247_CTTN.pdf</v>
      </c>
    </row>
    <row r="1419" spans="1:28" x14ac:dyDescent="0.25">
      <c r="A1419" t="s">
        <v>1423</v>
      </c>
      <c r="B1419">
        <v>1</v>
      </c>
      <c r="C1419">
        <v>1.0917375609017199</v>
      </c>
      <c r="D1419">
        <v>1.4617928457829501</v>
      </c>
      <c r="E1419">
        <v>1.9453967132002099</v>
      </c>
      <c r="F1419">
        <v>1.50814126675586</v>
      </c>
      <c r="G1419">
        <v>2.1751192790245599</v>
      </c>
      <c r="H1419">
        <v>1.80955746850781</v>
      </c>
      <c r="I1419">
        <v>2.6556938378815</v>
      </c>
      <c r="J1419">
        <v>2.6062151313962598</v>
      </c>
      <c r="K1419">
        <v>2.3639714235225799</v>
      </c>
      <c r="L1419">
        <v>2738.2682245012602</v>
      </c>
      <c r="M1419">
        <v>62.311838037381897</v>
      </c>
      <c r="O1419">
        <v>43.899396993416403</v>
      </c>
      <c r="P1419">
        <v>0.177428006911592</v>
      </c>
      <c r="Q1419">
        <v>1.5</v>
      </c>
      <c r="R1419">
        <v>-0.28146401069222499</v>
      </c>
      <c r="S1419" t="s">
        <v>3293</v>
      </c>
      <c r="T1419" t="s">
        <v>3746</v>
      </c>
      <c r="U1419" t="s">
        <v>3746</v>
      </c>
      <c r="V1419" t="s">
        <v>3746</v>
      </c>
      <c r="W1419" t="s">
        <v>5153</v>
      </c>
      <c r="X1419">
        <v>6</v>
      </c>
      <c r="Y1419" t="s">
        <v>6945</v>
      </c>
      <c r="Z1419" t="s">
        <v>8807</v>
      </c>
      <c r="AA1419">
        <v>1.4336137455368341</v>
      </c>
      <c r="AB1419" t="str">
        <f>HYPERLINK("Melting_Curves/meltCurve_Q14435_GALNT3.pdf", "Melting_Curves/meltCurve_Q14435_GALNT3.pdf")</f>
        <v>Melting_Curves/meltCurve_Q14435_GALNT3.pdf</v>
      </c>
    </row>
    <row r="1420" spans="1:28" x14ac:dyDescent="0.25">
      <c r="A1420" t="s">
        <v>1424</v>
      </c>
      <c r="B1420">
        <v>1</v>
      </c>
      <c r="C1420">
        <v>0.92690729797884797</v>
      </c>
      <c r="D1420">
        <v>1.1089992096051799</v>
      </c>
      <c r="E1420">
        <v>1.35063419774926</v>
      </c>
      <c r="F1420">
        <v>0.91181452068199798</v>
      </c>
      <c r="G1420">
        <v>0.71079077119951795</v>
      </c>
      <c r="H1420">
        <v>0.51605254243667398</v>
      </c>
      <c r="I1420">
        <v>0.74018593097218599</v>
      </c>
      <c r="J1420">
        <v>0.80571342542060298</v>
      </c>
      <c r="K1420">
        <v>0.78843765290376</v>
      </c>
      <c r="L1420">
        <v>13293.288747426201</v>
      </c>
      <c r="M1420">
        <v>250</v>
      </c>
      <c r="O1420">
        <v>53.169743835525203</v>
      </c>
      <c r="P1420">
        <v>-0.33826086650834197</v>
      </c>
      <c r="Q1420">
        <v>0.71223605667752299</v>
      </c>
      <c r="R1420">
        <v>0.60063870801091002</v>
      </c>
      <c r="S1420" t="s">
        <v>3294</v>
      </c>
      <c r="T1420" t="s">
        <v>3746</v>
      </c>
      <c r="U1420" t="s">
        <v>3746</v>
      </c>
      <c r="V1420" t="s">
        <v>3746</v>
      </c>
      <c r="W1420" t="s">
        <v>5154</v>
      </c>
      <c r="X1420">
        <v>3</v>
      </c>
      <c r="Y1420" t="s">
        <v>6946</v>
      </c>
      <c r="Z1420" t="s">
        <v>8808</v>
      </c>
      <c r="AA1420">
        <v>0.83862154444481407</v>
      </c>
      <c r="AB1420" t="str">
        <f>HYPERLINK("Melting_Curves/meltCurve_Q14508_WFDC2.pdf", "Melting_Curves/meltCurve_Q14508_WFDC2.pdf")</f>
        <v>Melting_Curves/meltCurve_Q14508_WFDC2.pdf</v>
      </c>
    </row>
    <row r="1421" spans="1:28" x14ac:dyDescent="0.25">
      <c r="A1421" t="s">
        <v>1425</v>
      </c>
      <c r="B1421">
        <v>1</v>
      </c>
      <c r="C1421">
        <v>0.95703400140872097</v>
      </c>
      <c r="D1421">
        <v>1.05455593263751</v>
      </c>
      <c r="E1421">
        <v>1.6113850291349201</v>
      </c>
      <c r="F1421">
        <v>1.01927386822053</v>
      </c>
      <c r="G1421">
        <v>1.1985656656207999</v>
      </c>
      <c r="H1421">
        <v>0.84670551322276999</v>
      </c>
      <c r="I1421">
        <v>1.2296215662419201</v>
      </c>
      <c r="J1421">
        <v>1.2461420247166599</v>
      </c>
      <c r="K1421">
        <v>1.17378497790869</v>
      </c>
      <c r="L1421">
        <v>11541.609386174599</v>
      </c>
      <c r="M1421">
        <v>250</v>
      </c>
      <c r="O1421">
        <v>46.163483213182801</v>
      </c>
      <c r="P1421">
        <v>0.25636346943313698</v>
      </c>
      <c r="Q1421">
        <v>1.18935409120191</v>
      </c>
      <c r="R1421">
        <v>0.18489051083817401</v>
      </c>
      <c r="S1421" t="s">
        <v>3295</v>
      </c>
      <c r="T1421" t="s">
        <v>3746</v>
      </c>
      <c r="U1421" t="s">
        <v>3746</v>
      </c>
      <c r="V1421" t="s">
        <v>3746</v>
      </c>
      <c r="W1421" t="s">
        <v>5155</v>
      </c>
      <c r="X1421">
        <v>6</v>
      </c>
      <c r="Y1421" t="s">
        <v>6947</v>
      </c>
      <c r="Z1421" t="s">
        <v>8809</v>
      </c>
      <c r="AA1421">
        <v>1.150417410231259</v>
      </c>
      <c r="AB1421" t="str">
        <f>HYPERLINK("Melting_Curves/meltCurve_Q14512_FGFBP1.pdf", "Melting_Curves/meltCurve_Q14512_FGFBP1.pdf")</f>
        <v>Melting_Curves/meltCurve_Q14512_FGFBP1.pdf</v>
      </c>
    </row>
    <row r="1422" spans="1:28" x14ac:dyDescent="0.25">
      <c r="A1422" t="s">
        <v>1426</v>
      </c>
      <c r="B1422">
        <v>1</v>
      </c>
      <c r="C1422">
        <v>0.94476399364383101</v>
      </c>
      <c r="D1422">
        <v>2.5353058346948401</v>
      </c>
      <c r="E1422">
        <v>2.8799713524764399</v>
      </c>
      <c r="F1422">
        <v>2.10946487321233</v>
      </c>
      <c r="G1422">
        <v>1.9502025469438899</v>
      </c>
      <c r="H1422">
        <v>3.9047917459322701</v>
      </c>
      <c r="I1422">
        <v>2.0101832993889999</v>
      </c>
      <c r="J1422">
        <v>1.9990823840111001</v>
      </c>
      <c r="K1422">
        <v>1.65016449945167</v>
      </c>
      <c r="L1422">
        <v>11035.5695653066</v>
      </c>
      <c r="M1422">
        <v>250</v>
      </c>
      <c r="O1422">
        <v>44.139453225853401</v>
      </c>
      <c r="P1422">
        <v>0.70798339343472905</v>
      </c>
      <c r="Q1422">
        <v>1.5</v>
      </c>
      <c r="R1422">
        <v>-0.44215679042862399</v>
      </c>
      <c r="S1422" t="s">
        <v>3296</v>
      </c>
      <c r="T1422" t="s">
        <v>3746</v>
      </c>
      <c r="U1422" t="s">
        <v>3746</v>
      </c>
      <c r="V1422" t="s">
        <v>3746</v>
      </c>
      <c r="W1422" t="s">
        <v>5156</v>
      </c>
      <c r="X1422">
        <v>4</v>
      </c>
      <c r="Y1422" t="s">
        <v>6948</v>
      </c>
      <c r="Z1422" t="s">
        <v>8810</v>
      </c>
      <c r="AA1422">
        <v>1.430923294473867</v>
      </c>
      <c r="AB1422" t="str">
        <f>HYPERLINK("Melting_Curves/meltCurve_Q14520_2_HABP2.pdf", "Melting_Curves/meltCurve_Q14520_2_HABP2.pdf")</f>
        <v>Melting_Curves/meltCurve_Q14520_2_HABP2.pdf</v>
      </c>
    </row>
    <row r="1423" spans="1:28" x14ac:dyDescent="0.25">
      <c r="A1423" t="s">
        <v>1427</v>
      </c>
      <c r="B1423">
        <v>1</v>
      </c>
      <c r="C1423">
        <v>0.88163335630599604</v>
      </c>
      <c r="D1423">
        <v>1.5160234321157799</v>
      </c>
      <c r="E1423">
        <v>2.0082701585113698</v>
      </c>
      <c r="F1423">
        <v>1.21011371467953</v>
      </c>
      <c r="G1423">
        <v>1.6778084079944899</v>
      </c>
      <c r="H1423">
        <v>1.1294796691936599</v>
      </c>
      <c r="I1423">
        <v>1.8891281874569299</v>
      </c>
      <c r="J1423">
        <v>2.0897656788421801</v>
      </c>
      <c r="K1423">
        <v>1.8585458304617499</v>
      </c>
      <c r="L1423">
        <v>11144.6178219551</v>
      </c>
      <c r="M1423">
        <v>250</v>
      </c>
      <c r="O1423">
        <v>44.575618619443198</v>
      </c>
      <c r="P1423">
        <v>0.70105589210445896</v>
      </c>
      <c r="Q1423">
        <v>1.5</v>
      </c>
      <c r="R1423">
        <v>0.34650706667893599</v>
      </c>
      <c r="S1423" t="s">
        <v>3297</v>
      </c>
      <c r="T1423" t="s">
        <v>3746</v>
      </c>
      <c r="U1423" t="s">
        <v>3746</v>
      </c>
      <c r="V1423" t="s">
        <v>3746</v>
      </c>
      <c r="W1423" t="s">
        <v>5157</v>
      </c>
      <c r="X1423">
        <v>2</v>
      </c>
      <c r="Y1423" t="s">
        <v>6949</v>
      </c>
      <c r="Z1423" t="s">
        <v>8811</v>
      </c>
      <c r="AA1423">
        <v>1.4236530279413351</v>
      </c>
      <c r="AB1423" t="str">
        <f>HYPERLINK("Melting_Curves/meltCurve_Q14558_PRPSAP1.pdf", "Melting_Curves/meltCurve_Q14558_PRPSAP1.pdf")</f>
        <v>Melting_Curves/meltCurve_Q14558_PRPSAP1.pdf</v>
      </c>
    </row>
    <row r="1424" spans="1:28" x14ac:dyDescent="0.25">
      <c r="A1424" t="s">
        <v>1428</v>
      </c>
      <c r="B1424">
        <v>1</v>
      </c>
      <c r="C1424">
        <v>1.0668960538240599</v>
      </c>
      <c r="D1424">
        <v>1.61886914179506</v>
      </c>
      <c r="E1424">
        <v>1.9982795963195601</v>
      </c>
      <c r="F1424">
        <v>1.3311316262423001</v>
      </c>
      <c r="G1424">
        <v>1.4384110843151401</v>
      </c>
      <c r="H1424">
        <v>0.950277261485999</v>
      </c>
      <c r="I1424">
        <v>1.39636871937451</v>
      </c>
      <c r="J1424">
        <v>1.36713721755426</v>
      </c>
      <c r="K1424">
        <v>1.2837129998003101</v>
      </c>
      <c r="L1424">
        <v>10796.734933514001</v>
      </c>
      <c r="M1424">
        <v>250</v>
      </c>
      <c r="O1424">
        <v>43.184176102100103</v>
      </c>
      <c r="P1424">
        <v>0.61223736223002001</v>
      </c>
      <c r="Q1424">
        <v>1.4230234561253801</v>
      </c>
      <c r="R1424">
        <v>0.281766903317758</v>
      </c>
      <c r="S1424" t="s">
        <v>3298</v>
      </c>
      <c r="T1424" t="s">
        <v>3746</v>
      </c>
      <c r="U1424" t="s">
        <v>3746</v>
      </c>
      <c r="V1424" t="s">
        <v>3746</v>
      </c>
      <c r="W1424" t="s">
        <v>5158</v>
      </c>
      <c r="X1424">
        <v>22</v>
      </c>
      <c r="Y1424" t="s">
        <v>5726</v>
      </c>
      <c r="Z1424" t="s">
        <v>8812</v>
      </c>
      <c r="AA1424">
        <v>1.378053052129288</v>
      </c>
      <c r="AB1424" t="str">
        <f>HYPERLINK("Melting_Curves/meltCurve_Q14624_ITIH4.pdf", "Melting_Curves/meltCurve_Q14624_ITIH4.pdf")</f>
        <v>Melting_Curves/meltCurve_Q14624_ITIH4.pdf</v>
      </c>
    </row>
    <row r="1425" spans="1:28" x14ac:dyDescent="0.25">
      <c r="A1425" t="s">
        <v>1429</v>
      </c>
      <c r="B1425">
        <v>1</v>
      </c>
      <c r="C1425">
        <v>1.3061790767378201</v>
      </c>
      <c r="D1425">
        <v>1.94311741685536</v>
      </c>
      <c r="E1425">
        <v>2.6548695731843002</v>
      </c>
      <c r="F1425">
        <v>2.1980812271769401</v>
      </c>
      <c r="G1425">
        <v>2.8746253419368299</v>
      </c>
      <c r="H1425">
        <v>1.58763399342958</v>
      </c>
      <c r="I1425">
        <v>2.58366818056883</v>
      </c>
      <c r="J1425">
        <v>2.6616755886549002</v>
      </c>
      <c r="K1425">
        <v>2.4280460191353699</v>
      </c>
      <c r="S1425" t="s">
        <v>3299</v>
      </c>
      <c r="T1425" t="s">
        <v>3746</v>
      </c>
      <c r="U1425" t="s">
        <v>3747</v>
      </c>
      <c r="V1425" t="s">
        <v>3746</v>
      </c>
      <c r="W1425" t="s">
        <v>5159</v>
      </c>
      <c r="X1425">
        <v>4</v>
      </c>
      <c r="Y1425" t="s">
        <v>6950</v>
      </c>
      <c r="Z1425" t="s">
        <v>8813</v>
      </c>
      <c r="AB1425" t="str">
        <f>HYPERLINK("Melting_Curves/meltCurve_Q14651_PLS1.pdf", "Melting_Curves/meltCurve_Q14651_PLS1.pdf")</f>
        <v>Melting_Curves/meltCurve_Q14651_PLS1.pdf</v>
      </c>
    </row>
    <row r="1426" spans="1:28" x14ac:dyDescent="0.25">
      <c r="A1426" t="s">
        <v>1430</v>
      </c>
      <c r="B1426">
        <v>1</v>
      </c>
      <c r="C1426">
        <v>1.0238019748165601</v>
      </c>
      <c r="D1426">
        <v>1.3202282815472399</v>
      </c>
      <c r="E1426">
        <v>1.9192861672252901</v>
      </c>
      <c r="F1426">
        <v>1.68235347404656</v>
      </c>
      <c r="G1426">
        <v>1.93425582027358</v>
      </c>
      <c r="H1426">
        <v>1.1890569797988899</v>
      </c>
      <c r="I1426">
        <v>1.9267596702599901</v>
      </c>
      <c r="J1426">
        <v>2.0848808768910199</v>
      </c>
      <c r="K1426">
        <v>1.90515445239605</v>
      </c>
      <c r="L1426">
        <v>10819.9777568021</v>
      </c>
      <c r="M1426">
        <v>235.79425472585001</v>
      </c>
      <c r="O1426">
        <v>45.884043882500102</v>
      </c>
      <c r="P1426">
        <v>0.64236419330819805</v>
      </c>
      <c r="Q1426">
        <v>1.5</v>
      </c>
      <c r="R1426">
        <v>0.257960841366833</v>
      </c>
      <c r="S1426" t="s">
        <v>3300</v>
      </c>
      <c r="T1426" t="s">
        <v>3746</v>
      </c>
      <c r="U1426" t="s">
        <v>3746</v>
      </c>
      <c r="V1426" t="s">
        <v>3746</v>
      </c>
      <c r="W1426" t="s">
        <v>5160</v>
      </c>
      <c r="X1426">
        <v>5</v>
      </c>
      <c r="Y1426" t="s">
        <v>6951</v>
      </c>
      <c r="Z1426" t="s">
        <v>8814</v>
      </c>
      <c r="AA1426">
        <v>1.401831933796039</v>
      </c>
      <c r="AB1426" t="str">
        <f>HYPERLINK("Melting_Curves/meltCurve_Q14696_MESDC2.pdf", "Melting_Curves/meltCurve_Q14696_MESDC2.pdf")</f>
        <v>Melting_Curves/meltCurve_Q14696_MESDC2.pdf</v>
      </c>
    </row>
    <row r="1427" spans="1:28" x14ac:dyDescent="0.25">
      <c r="A1427" t="s">
        <v>1431</v>
      </c>
      <c r="B1427">
        <v>1</v>
      </c>
      <c r="C1427">
        <v>1.01481429962443</v>
      </c>
      <c r="D1427">
        <v>1.2511475865906201</v>
      </c>
      <c r="E1427">
        <v>1.4954096536374999</v>
      </c>
      <c r="F1427">
        <v>1.03581861176798</v>
      </c>
      <c r="G1427">
        <v>1.1255390179440801</v>
      </c>
      <c r="H1427">
        <v>0.81492558074836596</v>
      </c>
      <c r="I1427">
        <v>1.4707887049659201</v>
      </c>
      <c r="J1427">
        <v>1.8334260676032801</v>
      </c>
      <c r="K1427">
        <v>1.7704826818750901</v>
      </c>
      <c r="L1427">
        <v>442.32144553710299</v>
      </c>
      <c r="M1427">
        <v>8.1988185259578596</v>
      </c>
      <c r="O1427">
        <v>51.025075058455101</v>
      </c>
      <c r="P1427">
        <v>2.0105990954513299E-2</v>
      </c>
      <c r="Q1427">
        <v>1.5</v>
      </c>
      <c r="R1427">
        <v>0.265734867413149</v>
      </c>
      <c r="S1427" t="s">
        <v>3301</v>
      </c>
      <c r="T1427" t="s">
        <v>3746</v>
      </c>
      <c r="U1427" t="s">
        <v>3746</v>
      </c>
      <c r="V1427" t="s">
        <v>3746</v>
      </c>
      <c r="W1427" t="s">
        <v>5161</v>
      </c>
      <c r="X1427">
        <v>19</v>
      </c>
      <c r="Y1427" t="s">
        <v>6952</v>
      </c>
      <c r="Z1427" t="s">
        <v>8815</v>
      </c>
      <c r="AA1427">
        <v>1.2504749460679661</v>
      </c>
      <c r="AB1427" t="str">
        <f>HYPERLINK("Melting_Curves/meltCurve_Q14697_GANAB.pdf", "Melting_Curves/meltCurve_Q14697_GANAB.pdf")</f>
        <v>Melting_Curves/meltCurve_Q14697_GANAB.pdf</v>
      </c>
    </row>
    <row r="1428" spans="1:28" x14ac:dyDescent="0.25">
      <c r="A1428" t="s">
        <v>1432</v>
      </c>
      <c r="B1428">
        <v>1</v>
      </c>
      <c r="C1428">
        <v>0.80426787960902002</v>
      </c>
      <c r="D1428">
        <v>1.5316461821349101</v>
      </c>
      <c r="E1428">
        <v>1.4478612213297199</v>
      </c>
      <c r="F1428">
        <v>1.2156924416916699</v>
      </c>
      <c r="G1428">
        <v>0.33010742282009098</v>
      </c>
      <c r="H1428">
        <v>0.33509145456305001</v>
      </c>
      <c r="I1428">
        <v>1.0774218523178201</v>
      </c>
      <c r="J1428">
        <v>1.94174005613084</v>
      </c>
      <c r="K1428">
        <v>1.6868769960321299</v>
      </c>
      <c r="L1428">
        <v>15000</v>
      </c>
      <c r="M1428">
        <v>232.68543306760699</v>
      </c>
      <c r="O1428">
        <v>64.459954321380394</v>
      </c>
      <c r="P1428">
        <v>0.45122092218950899</v>
      </c>
      <c r="Q1428">
        <v>1.5</v>
      </c>
      <c r="R1428">
        <v>0.35916754406217799</v>
      </c>
      <c r="S1428" t="s">
        <v>3302</v>
      </c>
      <c r="T1428" t="s">
        <v>3746</v>
      </c>
      <c r="U1428" t="s">
        <v>3746</v>
      </c>
      <c r="V1428" t="s">
        <v>3746</v>
      </c>
      <c r="W1428" t="s">
        <v>5162</v>
      </c>
      <c r="X1428">
        <v>19</v>
      </c>
      <c r="Y1428" t="s">
        <v>6952</v>
      </c>
      <c r="Z1428" t="s">
        <v>8816</v>
      </c>
      <c r="AA1428">
        <v>1.0921894578829101</v>
      </c>
      <c r="AB1428" t="str">
        <f>HYPERLINK("Melting_Curves/meltCurve_Q14697_2_GANAB.pdf", "Melting_Curves/meltCurve_Q14697_2_GANAB.pdf")</f>
        <v>Melting_Curves/meltCurve_Q14697_2_GANAB.pdf</v>
      </c>
    </row>
    <row r="1429" spans="1:28" x14ac:dyDescent="0.25">
      <c r="A1429" t="s">
        <v>1433</v>
      </c>
      <c r="B1429">
        <v>1</v>
      </c>
      <c r="C1429">
        <v>1.0905902227036499</v>
      </c>
      <c r="D1429">
        <v>1.6758868815041199</v>
      </c>
      <c r="E1429">
        <v>1.73804273537339</v>
      </c>
      <c r="F1429">
        <v>1.74706951913033</v>
      </c>
      <c r="G1429">
        <v>1.8942060943685799</v>
      </c>
      <c r="H1429">
        <v>1.0583130230698801</v>
      </c>
      <c r="I1429">
        <v>1.66337833829806</v>
      </c>
      <c r="J1429">
        <v>1.8369504945388</v>
      </c>
      <c r="K1429">
        <v>1.4694314415773699</v>
      </c>
      <c r="L1429">
        <v>10789.708958478301</v>
      </c>
      <c r="M1429">
        <v>250</v>
      </c>
      <c r="O1429">
        <v>43.156074088915503</v>
      </c>
      <c r="P1429">
        <v>0.72411591632356898</v>
      </c>
      <c r="Q1429">
        <v>1.5</v>
      </c>
      <c r="R1429">
        <v>0.39302204528720802</v>
      </c>
      <c r="S1429" t="s">
        <v>3303</v>
      </c>
      <c r="T1429" t="s">
        <v>3746</v>
      </c>
      <c r="U1429" t="s">
        <v>3746</v>
      </c>
      <c r="V1429" t="s">
        <v>3746</v>
      </c>
      <c r="W1429" t="s">
        <v>5163</v>
      </c>
      <c r="X1429">
        <v>2</v>
      </c>
      <c r="Y1429" t="s">
        <v>6953</v>
      </c>
      <c r="Z1429" t="s">
        <v>8817</v>
      </c>
      <c r="AA1429">
        <v>1.447314864552312</v>
      </c>
      <c r="AB1429" t="str">
        <f>HYPERLINK("Melting_Curves/meltCurve_Q14703_MBTPS1.pdf", "Melting_Curves/meltCurve_Q14703_MBTPS1.pdf")</f>
        <v>Melting_Curves/meltCurve_Q14703_MBTPS1.pdf</v>
      </c>
    </row>
    <row r="1430" spans="1:28" x14ac:dyDescent="0.25">
      <c r="A1430" t="s">
        <v>1434</v>
      </c>
      <c r="B1430">
        <v>1</v>
      </c>
      <c r="C1430">
        <v>0.98078779926221205</v>
      </c>
      <c r="D1430">
        <v>1.25191255477705</v>
      </c>
      <c r="E1430">
        <v>1.4601520140625399</v>
      </c>
      <c r="F1430">
        <v>0.93094996410091402</v>
      </c>
      <c r="G1430">
        <v>0.95177143423039801</v>
      </c>
      <c r="H1430">
        <v>0.64997152831076199</v>
      </c>
      <c r="I1430">
        <v>0.92079918793790705</v>
      </c>
      <c r="J1430">
        <v>0.96229358025302703</v>
      </c>
      <c r="K1430">
        <v>0.87905721571637196</v>
      </c>
      <c r="L1430">
        <v>14290.8430786026</v>
      </c>
      <c r="M1430">
        <v>250</v>
      </c>
      <c r="O1430">
        <v>57.159728353533502</v>
      </c>
      <c r="P1430">
        <v>-0.16070060367963801</v>
      </c>
      <c r="Q1430">
        <v>0.85303039068585795</v>
      </c>
      <c r="R1430">
        <v>0.20751658983458701</v>
      </c>
      <c r="S1430" t="s">
        <v>3304</v>
      </c>
      <c r="T1430" t="s">
        <v>3746</v>
      </c>
      <c r="U1430" t="s">
        <v>3746</v>
      </c>
      <c r="V1430" t="s">
        <v>3746</v>
      </c>
      <c r="W1430" t="s">
        <v>5164</v>
      </c>
      <c r="X1430">
        <v>10</v>
      </c>
      <c r="Y1430" t="s">
        <v>6954</v>
      </c>
      <c r="Z1430" t="s">
        <v>8818</v>
      </c>
      <c r="AA1430">
        <v>0.93712827225093476</v>
      </c>
      <c r="AB1430" t="str">
        <f>HYPERLINK("Melting_Curves/meltCurve_Q14766_LTBP1.pdf", "Melting_Curves/meltCurve_Q14766_LTBP1.pdf")</f>
        <v>Melting_Curves/meltCurve_Q14766_LTBP1.pdf</v>
      </c>
    </row>
    <row r="1431" spans="1:28" x14ac:dyDescent="0.25">
      <c r="A1431" t="s">
        <v>1435</v>
      </c>
      <c r="B1431">
        <v>1</v>
      </c>
      <c r="C1431">
        <v>0.90101847586877504</v>
      </c>
      <c r="D1431">
        <v>1.36890321920262</v>
      </c>
      <c r="E1431">
        <v>1.8035723424945</v>
      </c>
      <c r="F1431">
        <v>1.2464302164901</v>
      </c>
      <c r="G1431">
        <v>1.7668253237115501</v>
      </c>
      <c r="H1431">
        <v>1.2543118890424301</v>
      </c>
      <c r="I1431">
        <v>2.3986897998873999</v>
      </c>
      <c r="J1431">
        <v>2.5734684477199399</v>
      </c>
      <c r="K1431">
        <v>2.49531705819131</v>
      </c>
      <c r="L1431">
        <v>11452.408479927701</v>
      </c>
      <c r="M1431">
        <v>250</v>
      </c>
      <c r="O1431">
        <v>45.806702199550699</v>
      </c>
      <c r="P1431">
        <v>0.68221457547773101</v>
      </c>
      <c r="Q1431">
        <v>1.5</v>
      </c>
      <c r="R1431">
        <v>8.1720096415583102E-2</v>
      </c>
      <c r="S1431" t="s">
        <v>3305</v>
      </c>
      <c r="T1431" t="s">
        <v>3746</v>
      </c>
      <c r="U1431" t="s">
        <v>3746</v>
      </c>
      <c r="V1431" t="s">
        <v>3746</v>
      </c>
      <c r="W1431" t="s">
        <v>5165</v>
      </c>
      <c r="X1431">
        <v>5</v>
      </c>
      <c r="Y1431" t="s">
        <v>6955</v>
      </c>
      <c r="Z1431" t="s">
        <v>8819</v>
      </c>
      <c r="AA1431">
        <v>1.403132570407533</v>
      </c>
      <c r="AB1431" t="str">
        <f>HYPERLINK("Melting_Curves/meltCurve_Q14914_2_PTGR1.pdf", "Melting_Curves/meltCurve_Q14914_2_PTGR1.pdf")</f>
        <v>Melting_Curves/meltCurve_Q14914_2_PTGR1.pdf</v>
      </c>
    </row>
    <row r="1432" spans="1:28" x14ac:dyDescent="0.25">
      <c r="A1432" t="s">
        <v>1436</v>
      </c>
      <c r="B1432">
        <v>1</v>
      </c>
      <c r="C1432">
        <v>1.0094603216509399</v>
      </c>
      <c r="D1432">
        <v>1.63861571293424</v>
      </c>
      <c r="E1432">
        <v>2.54614656898335</v>
      </c>
      <c r="F1432">
        <v>1.9032847116802001</v>
      </c>
      <c r="G1432">
        <v>2.3532000088002998</v>
      </c>
      <c r="H1432">
        <v>1.7068180318130799</v>
      </c>
      <c r="I1432">
        <v>2.6678107055639901</v>
      </c>
      <c r="J1432">
        <v>2.5707874067718302</v>
      </c>
      <c r="K1432">
        <v>2.40402173673905</v>
      </c>
      <c r="L1432">
        <v>10894.325118381101</v>
      </c>
      <c r="M1432">
        <v>250</v>
      </c>
      <c r="O1432">
        <v>43.5745118667475</v>
      </c>
      <c r="P1432">
        <v>0.71716236705216396</v>
      </c>
      <c r="Q1432">
        <v>1.5</v>
      </c>
      <c r="R1432">
        <v>-0.50925397899297298</v>
      </c>
      <c r="S1432" t="s">
        <v>3306</v>
      </c>
      <c r="T1432" t="s">
        <v>3746</v>
      </c>
      <c r="U1432" t="s">
        <v>3746</v>
      </c>
      <c r="V1432" t="s">
        <v>3746</v>
      </c>
      <c r="W1432" t="s">
        <v>5166</v>
      </c>
      <c r="X1432">
        <v>12</v>
      </c>
      <c r="Y1432" t="s">
        <v>6956</v>
      </c>
      <c r="Z1432" t="s">
        <v>8820</v>
      </c>
      <c r="AA1432">
        <v>1.440340086698727</v>
      </c>
      <c r="AB1432" t="str">
        <f>HYPERLINK("Melting_Curves/meltCurve_Q14974_KPNB1.pdf", "Melting_Curves/meltCurve_Q14974_KPNB1.pdf")</f>
        <v>Melting_Curves/meltCurve_Q14974_KPNB1.pdf</v>
      </c>
    </row>
    <row r="1433" spans="1:28" x14ac:dyDescent="0.25">
      <c r="A1433" t="s">
        <v>1437</v>
      </c>
      <c r="B1433">
        <v>1</v>
      </c>
      <c r="C1433">
        <v>1.2631402212717799</v>
      </c>
      <c r="D1433">
        <v>1.0781697359584299</v>
      </c>
      <c r="E1433">
        <v>1.2432222261496599</v>
      </c>
      <c r="F1433">
        <v>1.45779576543777</v>
      </c>
      <c r="G1433">
        <v>1.2553108762503999</v>
      </c>
      <c r="H1433">
        <v>0.50330493796613796</v>
      </c>
      <c r="I1433">
        <v>1.1191368279664899</v>
      </c>
      <c r="J1433">
        <v>0.967834293591602</v>
      </c>
      <c r="K1433">
        <v>0.8410978756495</v>
      </c>
      <c r="L1433">
        <v>1068.51398188604</v>
      </c>
      <c r="M1433">
        <v>13.427989567615001</v>
      </c>
      <c r="Q1433">
        <v>0</v>
      </c>
      <c r="R1433">
        <v>-4.1800723415886101E-2</v>
      </c>
      <c r="S1433" t="s">
        <v>3307</v>
      </c>
      <c r="T1433" t="s">
        <v>3746</v>
      </c>
      <c r="U1433" t="s">
        <v>3746</v>
      </c>
      <c r="V1433" t="s">
        <v>3746</v>
      </c>
      <c r="W1433" t="s">
        <v>5167</v>
      </c>
      <c r="X1433">
        <v>2</v>
      </c>
      <c r="Y1433" t="s">
        <v>6957</v>
      </c>
      <c r="Z1433" t="s">
        <v>8821</v>
      </c>
      <c r="AA1433">
        <v>0.97997653051609734</v>
      </c>
      <c r="AB1433" t="str">
        <f>HYPERLINK("Melting_Curves/meltCurve_Q14997_PSME4.pdf", "Melting_Curves/meltCurve_Q14997_PSME4.pdf")</f>
        <v>Melting_Curves/meltCurve_Q14997_PSME4.pdf</v>
      </c>
    </row>
    <row r="1434" spans="1:28" x14ac:dyDescent="0.25">
      <c r="A1434" t="s">
        <v>1438</v>
      </c>
      <c r="B1434">
        <v>1</v>
      </c>
      <c r="C1434">
        <v>0.94112818829130196</v>
      </c>
      <c r="D1434">
        <v>1.6112285309748999</v>
      </c>
      <c r="E1434">
        <v>2.4485461596864502</v>
      </c>
      <c r="F1434">
        <v>1.78739252662467</v>
      </c>
      <c r="G1434">
        <v>1.9536043338189699</v>
      </c>
      <c r="H1434">
        <v>1.8297662774711201</v>
      </c>
      <c r="I1434">
        <v>2.6799088913056899</v>
      </c>
      <c r="J1434">
        <v>2.8108263394414501</v>
      </c>
      <c r="K1434">
        <v>2.8422219030225899</v>
      </c>
      <c r="L1434">
        <v>11086.4147029913</v>
      </c>
      <c r="M1434">
        <v>250</v>
      </c>
      <c r="O1434">
        <v>44.342821242437097</v>
      </c>
      <c r="P1434">
        <v>0.70473640023786899</v>
      </c>
      <c r="Q1434">
        <v>1.5</v>
      </c>
      <c r="R1434">
        <v>-0.42180851716082202</v>
      </c>
      <c r="S1434" t="s">
        <v>3308</v>
      </c>
      <c r="T1434" t="s">
        <v>3746</v>
      </c>
      <c r="U1434" t="s">
        <v>3746</v>
      </c>
      <c r="V1434" t="s">
        <v>3746</v>
      </c>
      <c r="W1434" t="s">
        <v>5168</v>
      </c>
      <c r="X1434">
        <v>5</v>
      </c>
      <c r="Y1434" t="s">
        <v>6958</v>
      </c>
      <c r="Z1434" t="s">
        <v>8822</v>
      </c>
      <c r="AA1434">
        <v>1.427533440163387</v>
      </c>
      <c r="AB1434" t="str">
        <f>HYPERLINK("Melting_Curves/meltCurve_Q15046_KARS.pdf", "Melting_Curves/meltCurve_Q15046_KARS.pdf")</f>
        <v>Melting_Curves/meltCurve_Q15046_KARS.pdf</v>
      </c>
    </row>
    <row r="1435" spans="1:28" x14ac:dyDescent="0.25">
      <c r="A1435" t="s">
        <v>1439</v>
      </c>
      <c r="B1435">
        <v>1</v>
      </c>
      <c r="C1435">
        <v>1.19240441983038</v>
      </c>
      <c r="D1435">
        <v>1.5298178023918501</v>
      </c>
      <c r="E1435">
        <v>2.1510554619150799</v>
      </c>
      <c r="F1435">
        <v>1.52647349974583</v>
      </c>
      <c r="G1435">
        <v>1.9724697006180301</v>
      </c>
      <c r="H1435">
        <v>1.3818658533322601</v>
      </c>
      <c r="I1435">
        <v>2.14891510822163</v>
      </c>
      <c r="J1435">
        <v>1.9744762822056301</v>
      </c>
      <c r="K1435">
        <v>1.9453139631324099</v>
      </c>
      <c r="L1435">
        <v>10745.1280929482</v>
      </c>
      <c r="M1435">
        <v>250</v>
      </c>
      <c r="O1435">
        <v>42.977761844797698</v>
      </c>
      <c r="P1435">
        <v>0.72712022804654497</v>
      </c>
      <c r="Q1435">
        <v>1.5</v>
      </c>
      <c r="R1435">
        <v>8.1327504839707708E-3</v>
      </c>
      <c r="S1435" t="s">
        <v>3309</v>
      </c>
      <c r="T1435" t="s">
        <v>3746</v>
      </c>
      <c r="U1435" t="s">
        <v>3746</v>
      </c>
      <c r="V1435" t="s">
        <v>3746</v>
      </c>
      <c r="W1435" t="s">
        <v>5169</v>
      </c>
      <c r="X1435">
        <v>3</v>
      </c>
      <c r="Y1435" t="s">
        <v>6959</v>
      </c>
      <c r="Z1435" t="s">
        <v>8823</v>
      </c>
      <c r="AA1435">
        <v>1.450287078719084</v>
      </c>
      <c r="AB1435" t="str">
        <f>HYPERLINK("Melting_Curves/meltCurve_Q15056_2_EIF4H.pdf", "Melting_Curves/meltCurve_Q15056_2_EIF4H.pdf")</f>
        <v>Melting_Curves/meltCurve_Q15056_2_EIF4H.pdf</v>
      </c>
    </row>
    <row r="1436" spans="1:28" x14ac:dyDescent="0.25">
      <c r="A1436" t="s">
        <v>1440</v>
      </c>
      <c r="B1436">
        <v>1</v>
      </c>
      <c r="C1436">
        <v>0.90303882562765803</v>
      </c>
      <c r="D1436">
        <v>1.05103580738099</v>
      </c>
      <c r="E1436">
        <v>1.44049252297983</v>
      </c>
      <c r="F1436">
        <v>0.95030182466730695</v>
      </c>
      <c r="G1436">
        <v>0.93925778570448604</v>
      </c>
      <c r="H1436">
        <v>0.87597750034298305</v>
      </c>
      <c r="I1436">
        <v>1.08097818630814</v>
      </c>
      <c r="J1436">
        <v>1.1509809301687499</v>
      </c>
      <c r="K1436">
        <v>1.1073192481821901</v>
      </c>
      <c r="L1436">
        <v>11470.482260778501</v>
      </c>
      <c r="M1436">
        <v>250</v>
      </c>
      <c r="O1436">
        <v>45.878981298618299</v>
      </c>
      <c r="P1436">
        <v>0.106123111105378</v>
      </c>
      <c r="Q1436">
        <v>1.0779011433683401</v>
      </c>
      <c r="R1436">
        <v>8.2732713573505298E-2</v>
      </c>
      <c r="S1436" t="s">
        <v>3310</v>
      </c>
      <c r="T1436" t="s">
        <v>3746</v>
      </c>
      <c r="U1436" t="s">
        <v>3746</v>
      </c>
      <c r="V1436" t="s">
        <v>3746</v>
      </c>
      <c r="W1436" t="s">
        <v>5170</v>
      </c>
      <c r="X1436">
        <v>3</v>
      </c>
      <c r="Y1436" t="s">
        <v>6960</v>
      </c>
      <c r="Z1436" t="s">
        <v>8824</v>
      </c>
      <c r="AA1436">
        <v>1.062621237351248</v>
      </c>
      <c r="AB1436" t="str">
        <f>HYPERLINK("Melting_Curves/meltCurve_Q15075_EEA1.pdf", "Melting_Curves/meltCurve_Q15075_EEA1.pdf")</f>
        <v>Melting_Curves/meltCurve_Q15075_EEA1.pdf</v>
      </c>
    </row>
    <row r="1437" spans="1:28" x14ac:dyDescent="0.25">
      <c r="A1437" t="s">
        <v>1441</v>
      </c>
      <c r="B1437">
        <v>1</v>
      </c>
      <c r="C1437">
        <v>0.85646332213674303</v>
      </c>
      <c r="D1437">
        <v>1.25874959367212</v>
      </c>
      <c r="E1437">
        <v>1.4095785025463199</v>
      </c>
      <c r="F1437">
        <v>1.15668003033915</v>
      </c>
      <c r="G1437">
        <v>1.3714378589229601</v>
      </c>
      <c r="H1437">
        <v>0.65390616534835799</v>
      </c>
      <c r="I1437">
        <v>1.23632029472316</v>
      </c>
      <c r="J1437">
        <v>1.08895871708744</v>
      </c>
      <c r="K1437">
        <v>1.02416296456821</v>
      </c>
      <c r="L1437">
        <v>11105.839406839201</v>
      </c>
      <c r="M1437">
        <v>250</v>
      </c>
      <c r="O1437">
        <v>44.420514843458001</v>
      </c>
      <c r="P1437">
        <v>0.21101277926899201</v>
      </c>
      <c r="Q1437">
        <v>1.1499727404679001</v>
      </c>
      <c r="R1437">
        <v>0.13939781614742999</v>
      </c>
      <c r="S1437" t="s">
        <v>3311</v>
      </c>
      <c r="T1437" t="s">
        <v>3746</v>
      </c>
      <c r="U1437" t="s">
        <v>3746</v>
      </c>
      <c r="V1437" t="s">
        <v>3746</v>
      </c>
      <c r="W1437" t="s">
        <v>5171</v>
      </c>
      <c r="X1437">
        <v>4</v>
      </c>
      <c r="Y1437" t="s">
        <v>6961</v>
      </c>
      <c r="Z1437" t="s">
        <v>8825</v>
      </c>
      <c r="AA1437">
        <v>1.1278482793997839</v>
      </c>
      <c r="AB1437" t="str">
        <f>HYPERLINK("Melting_Curves/meltCurve_Q15102_PAFAH1B3.pdf", "Melting_Curves/meltCurve_Q15102_PAFAH1B3.pdf")</f>
        <v>Melting_Curves/meltCurve_Q15102_PAFAH1B3.pdf</v>
      </c>
    </row>
    <row r="1438" spans="1:28" x14ac:dyDescent="0.25">
      <c r="A1438" t="s">
        <v>1442</v>
      </c>
      <c r="B1438">
        <v>1</v>
      </c>
      <c r="C1438">
        <v>1.1755867759380101</v>
      </c>
      <c r="D1438">
        <v>1.4212242849974901</v>
      </c>
      <c r="E1438">
        <v>1.9628421698165801</v>
      </c>
      <c r="F1438">
        <v>1.35333389084016</v>
      </c>
      <c r="G1438">
        <v>1.42763561353627</v>
      </c>
      <c r="H1438">
        <v>0.760899258515917</v>
      </c>
      <c r="I1438">
        <v>1.5332831577186801</v>
      </c>
      <c r="J1438">
        <v>1.4443608184200301</v>
      </c>
      <c r="K1438">
        <v>1.3462256787645599</v>
      </c>
      <c r="L1438">
        <v>10736.699670854699</v>
      </c>
      <c r="M1438">
        <v>250</v>
      </c>
      <c r="O1438">
        <v>42.944050351044197</v>
      </c>
      <c r="P1438">
        <v>0.59121346389689899</v>
      </c>
      <c r="Q1438">
        <v>1.4062256119219401</v>
      </c>
      <c r="R1438">
        <v>0.19131352281345601</v>
      </c>
      <c r="S1438" t="s">
        <v>3312</v>
      </c>
      <c r="T1438" t="s">
        <v>3746</v>
      </c>
      <c r="U1438" t="s">
        <v>3746</v>
      </c>
      <c r="V1438" t="s">
        <v>3746</v>
      </c>
      <c r="W1438" t="s">
        <v>5172</v>
      </c>
      <c r="X1438">
        <v>5</v>
      </c>
      <c r="Y1438" t="s">
        <v>6962</v>
      </c>
      <c r="Z1438" t="s">
        <v>8826</v>
      </c>
      <c r="AA1438">
        <v>1.366292824340076</v>
      </c>
      <c r="AB1438" t="str">
        <f>HYPERLINK("Melting_Curves/meltCurve_Q15113_PCOLCE.pdf", "Melting_Curves/meltCurve_Q15113_PCOLCE.pdf")</f>
        <v>Melting_Curves/meltCurve_Q15113_PCOLCE.pdf</v>
      </c>
    </row>
    <row r="1439" spans="1:28" x14ac:dyDescent="0.25">
      <c r="A1439" t="s">
        <v>1443</v>
      </c>
      <c r="B1439">
        <v>1</v>
      </c>
      <c r="C1439">
        <v>1.2172734852695899</v>
      </c>
      <c r="D1439">
        <v>1.28939688715953</v>
      </c>
      <c r="E1439">
        <v>1.56378543635353</v>
      </c>
      <c r="F1439">
        <v>0.99242634797109497</v>
      </c>
      <c r="G1439">
        <v>0.79453863257365198</v>
      </c>
      <c r="H1439">
        <v>1.01549471928849</v>
      </c>
      <c r="I1439">
        <v>1.1418148971650901</v>
      </c>
      <c r="J1439">
        <v>1.2425653140633699</v>
      </c>
      <c r="K1439">
        <v>1.0531545302946099</v>
      </c>
      <c r="L1439">
        <v>10240.939253271001</v>
      </c>
      <c r="M1439">
        <v>250</v>
      </c>
      <c r="O1439">
        <v>40.961123080125603</v>
      </c>
      <c r="P1439">
        <v>0.22217034223118301</v>
      </c>
      <c r="Q1439">
        <v>1.1456055922886299</v>
      </c>
      <c r="R1439">
        <v>4.7538317649919601E-2</v>
      </c>
      <c r="S1439" t="s">
        <v>3313</v>
      </c>
      <c r="T1439" t="s">
        <v>3746</v>
      </c>
      <c r="U1439" t="s">
        <v>3746</v>
      </c>
      <c r="V1439" t="s">
        <v>3746</v>
      </c>
      <c r="W1439" t="s">
        <v>5173</v>
      </c>
      <c r="X1439">
        <v>4</v>
      </c>
      <c r="Y1439" t="s">
        <v>6963</v>
      </c>
      <c r="Z1439" t="s">
        <v>8827</v>
      </c>
      <c r="AA1439">
        <v>1.1409156912911631</v>
      </c>
      <c r="AB1439" t="str">
        <f>HYPERLINK("Melting_Curves/meltCurve_Q15149_7_PLEC.pdf", "Melting_Curves/meltCurve_Q15149_7_PLEC.pdf")</f>
        <v>Melting_Curves/meltCurve_Q15149_7_PLEC.pdf</v>
      </c>
    </row>
    <row r="1440" spans="1:28" x14ac:dyDescent="0.25">
      <c r="A1440" t="s">
        <v>1444</v>
      </c>
      <c r="B1440">
        <v>1</v>
      </c>
      <c r="C1440">
        <v>1.1109833598126899</v>
      </c>
      <c r="D1440">
        <v>1.96640605401789</v>
      </c>
      <c r="E1440">
        <v>3.4305752989380398</v>
      </c>
      <c r="F1440">
        <v>2.6699556819132</v>
      </c>
      <c r="G1440">
        <v>3.4082072079605301</v>
      </c>
      <c r="H1440">
        <v>1.6704992056192001</v>
      </c>
      <c r="I1440">
        <v>3.15964963625721</v>
      </c>
      <c r="J1440">
        <v>3.139372021072</v>
      </c>
      <c r="K1440">
        <v>2.9458984864955302</v>
      </c>
      <c r="S1440" t="s">
        <v>3314</v>
      </c>
      <c r="T1440" t="s">
        <v>3746</v>
      </c>
      <c r="U1440" t="s">
        <v>3747</v>
      </c>
      <c r="V1440" t="s">
        <v>3746</v>
      </c>
      <c r="W1440" t="s">
        <v>5174</v>
      </c>
      <c r="X1440">
        <v>8</v>
      </c>
      <c r="Y1440" t="s">
        <v>6964</v>
      </c>
      <c r="Z1440" t="s">
        <v>8828</v>
      </c>
      <c r="AB1440" t="str">
        <f>HYPERLINK("Melting_Curves/meltCurve_Q15181_PPA1.pdf", "Melting_Curves/meltCurve_Q15181_PPA1.pdf")</f>
        <v>Melting_Curves/meltCurve_Q15181_PPA1.pdf</v>
      </c>
    </row>
    <row r="1441" spans="1:28" x14ac:dyDescent="0.25">
      <c r="A1441" t="s">
        <v>1445</v>
      </c>
      <c r="B1441">
        <v>1</v>
      </c>
      <c r="C1441">
        <v>1.0232809255413799</v>
      </c>
      <c r="D1441">
        <v>1.24319193117769</v>
      </c>
      <c r="E1441">
        <v>1.44253930584396</v>
      </c>
      <c r="F1441">
        <v>0.933194897656482</v>
      </c>
      <c r="G1441">
        <v>1.08177988727381</v>
      </c>
      <c r="H1441">
        <v>0.639964402254524</v>
      </c>
      <c r="I1441">
        <v>1.0361198457431</v>
      </c>
      <c r="J1441">
        <v>1.0338415900326301</v>
      </c>
      <c r="K1441">
        <v>0.93311183625037097</v>
      </c>
      <c r="S1441" t="s">
        <v>3315</v>
      </c>
      <c r="T1441" t="s">
        <v>3746</v>
      </c>
      <c r="U1441" t="s">
        <v>3747</v>
      </c>
      <c r="V1441" t="s">
        <v>3746</v>
      </c>
      <c r="W1441" t="s">
        <v>5175</v>
      </c>
      <c r="X1441">
        <v>2</v>
      </c>
      <c r="Y1441" t="s">
        <v>6965</v>
      </c>
      <c r="Z1441" t="s">
        <v>8829</v>
      </c>
      <c r="AB1441" t="str">
        <f>HYPERLINK("Melting_Curves/meltCurve_Q15223_3_PVRL1.pdf", "Melting_Curves/meltCurve_Q15223_3_PVRL1.pdf")</f>
        <v>Melting_Curves/meltCurve_Q15223_3_PVRL1.pdf</v>
      </c>
    </row>
    <row r="1442" spans="1:28" x14ac:dyDescent="0.25">
      <c r="A1442" t="s">
        <v>1446</v>
      </c>
      <c r="B1442">
        <v>1</v>
      </c>
      <c r="C1442">
        <v>1.1844001290430499</v>
      </c>
      <c r="D1442">
        <v>1.38386722903947</v>
      </c>
      <c r="E1442">
        <v>1.74554622250367</v>
      </c>
      <c r="F1442">
        <v>1.2517175868949599</v>
      </c>
      <c r="G1442">
        <v>1.1177756801644101</v>
      </c>
      <c r="H1442">
        <v>0.61253629335786797</v>
      </c>
      <c r="I1442">
        <v>1.1611604315773101</v>
      </c>
      <c r="J1442">
        <v>1.15390773421911</v>
      </c>
      <c r="K1442">
        <v>1.0715113569832599</v>
      </c>
      <c r="L1442">
        <v>7886.1949392143097</v>
      </c>
      <c r="M1442">
        <v>125.10416421177599</v>
      </c>
      <c r="O1442">
        <v>63.020913018110001</v>
      </c>
      <c r="P1442">
        <v>6.4161786294194001E-2</v>
      </c>
      <c r="Q1442">
        <v>1.1292853881524501</v>
      </c>
      <c r="R1442">
        <v>-0.32072410344448099</v>
      </c>
      <c r="S1442" t="s">
        <v>3316</v>
      </c>
      <c r="T1442" t="s">
        <v>3746</v>
      </c>
      <c r="U1442" t="s">
        <v>3746</v>
      </c>
      <c r="V1442" t="s">
        <v>3746</v>
      </c>
      <c r="W1442" t="s">
        <v>5176</v>
      </c>
      <c r="X1442">
        <v>4</v>
      </c>
      <c r="Y1442" t="s">
        <v>6966</v>
      </c>
      <c r="Z1442" t="s">
        <v>8830</v>
      </c>
      <c r="AA1442">
        <v>1.029949866997973</v>
      </c>
      <c r="AB1442" t="str">
        <f>HYPERLINK("Melting_Curves/meltCurve_Q15274_QPRT.pdf", "Melting_Curves/meltCurve_Q15274_QPRT.pdf")</f>
        <v>Melting_Curves/meltCurve_Q15274_QPRT.pdf</v>
      </c>
    </row>
    <row r="1443" spans="1:28" x14ac:dyDescent="0.25">
      <c r="A1443" t="s">
        <v>1447</v>
      </c>
      <c r="B1443">
        <v>1</v>
      </c>
      <c r="C1443">
        <v>1.0908465244322101</v>
      </c>
      <c r="D1443">
        <v>1.37154655392783</v>
      </c>
      <c r="E1443">
        <v>1.5477337528266599</v>
      </c>
      <c r="F1443">
        <v>1.1624225739848599</v>
      </c>
      <c r="G1443">
        <v>1.2840428669747299</v>
      </c>
      <c r="H1443">
        <v>0.67982499262609397</v>
      </c>
      <c r="I1443">
        <v>1.0467997247075</v>
      </c>
      <c r="J1443">
        <v>1.1037262806017101</v>
      </c>
      <c r="K1443">
        <v>1.0090453249434701</v>
      </c>
      <c r="L1443">
        <v>1.0000000000000001E-5</v>
      </c>
      <c r="M1443">
        <v>1.0000000000000001E-5</v>
      </c>
      <c r="Q1443">
        <v>1.2591964434651299</v>
      </c>
      <c r="R1443">
        <v>-5.2582738163664503E-9</v>
      </c>
      <c r="S1443" t="s">
        <v>3317</v>
      </c>
      <c r="T1443" t="s">
        <v>3746</v>
      </c>
      <c r="U1443" t="s">
        <v>3746</v>
      </c>
      <c r="V1443" t="s">
        <v>3746</v>
      </c>
      <c r="W1443" t="s">
        <v>5177</v>
      </c>
      <c r="X1443">
        <v>6</v>
      </c>
      <c r="Y1443" t="s">
        <v>6967</v>
      </c>
      <c r="Z1443" t="s">
        <v>8831</v>
      </c>
      <c r="AA1443">
        <v>1.129598857636138</v>
      </c>
      <c r="AB1443" t="str">
        <f>HYPERLINK("Melting_Curves/meltCurve_Q15293_RCN1.pdf", "Melting_Curves/meltCurve_Q15293_RCN1.pdf")</f>
        <v>Melting_Curves/meltCurve_Q15293_RCN1.pdf</v>
      </c>
    </row>
    <row r="1444" spans="1:28" x14ac:dyDescent="0.25">
      <c r="A1444" t="s">
        <v>1448</v>
      </c>
      <c r="B1444">
        <v>1</v>
      </c>
      <c r="C1444">
        <v>1.1423504755763301</v>
      </c>
      <c r="D1444">
        <v>1.66949172059602</v>
      </c>
      <c r="E1444">
        <v>2.2944658114737102</v>
      </c>
      <c r="F1444">
        <v>1.40321503420004</v>
      </c>
      <c r="G1444">
        <v>1.5944128417125401</v>
      </c>
      <c r="H1444">
        <v>1.25890698049331</v>
      </c>
      <c r="I1444">
        <v>1.69731236037862</v>
      </c>
      <c r="J1444">
        <v>1.67384445314479</v>
      </c>
      <c r="K1444">
        <v>1.68837659197163</v>
      </c>
      <c r="L1444">
        <v>10764.5221243139</v>
      </c>
      <c r="M1444">
        <v>250</v>
      </c>
      <c r="O1444">
        <v>43.055333253922001</v>
      </c>
      <c r="P1444">
        <v>0.72581020310086097</v>
      </c>
      <c r="Q1444">
        <v>1.5</v>
      </c>
      <c r="R1444">
        <v>0.29980520747924799</v>
      </c>
      <c r="S1444" t="s">
        <v>3318</v>
      </c>
      <c r="T1444" t="s">
        <v>3746</v>
      </c>
      <c r="U1444" t="s">
        <v>3746</v>
      </c>
      <c r="V1444" t="s">
        <v>3746</v>
      </c>
      <c r="W1444" t="s">
        <v>5178</v>
      </c>
      <c r="X1444">
        <v>7</v>
      </c>
      <c r="Y1444" t="s">
        <v>6968</v>
      </c>
      <c r="Z1444" t="s">
        <v>8832</v>
      </c>
      <c r="AA1444">
        <v>1.4489940752291779</v>
      </c>
      <c r="AB1444" t="str">
        <f>HYPERLINK("Melting_Curves/meltCurve_Q15365_PCBP1.pdf", "Melting_Curves/meltCurve_Q15365_PCBP1.pdf")</f>
        <v>Melting_Curves/meltCurve_Q15365_PCBP1.pdf</v>
      </c>
    </row>
    <row r="1445" spans="1:28" x14ac:dyDescent="0.25">
      <c r="A1445" t="s">
        <v>1449</v>
      </c>
      <c r="B1445">
        <v>1</v>
      </c>
      <c r="C1445">
        <v>1.06813466713226</v>
      </c>
      <c r="D1445">
        <v>1.62812480742764</v>
      </c>
      <c r="E1445">
        <v>2.3137440174188102</v>
      </c>
      <c r="F1445">
        <v>1.8104882607891899</v>
      </c>
      <c r="G1445">
        <v>2.0649918862847398</v>
      </c>
      <c r="H1445">
        <v>1.0883059795000301</v>
      </c>
      <c r="I1445">
        <v>1.87975268574246</v>
      </c>
      <c r="J1445">
        <v>1.83811597477559</v>
      </c>
      <c r="K1445">
        <v>1.67401351601175</v>
      </c>
      <c r="L1445">
        <v>10804.220134352199</v>
      </c>
      <c r="M1445">
        <v>250</v>
      </c>
      <c r="O1445">
        <v>43.214114955323097</v>
      </c>
      <c r="P1445">
        <v>0.72314335437248201</v>
      </c>
      <c r="Q1445">
        <v>1.5</v>
      </c>
      <c r="R1445">
        <v>0.13869542161420001</v>
      </c>
      <c r="S1445" t="s">
        <v>3319</v>
      </c>
      <c r="T1445" t="s">
        <v>3746</v>
      </c>
      <c r="U1445" t="s">
        <v>3746</v>
      </c>
      <c r="V1445" t="s">
        <v>3746</v>
      </c>
      <c r="W1445" t="s">
        <v>5179</v>
      </c>
      <c r="X1445">
        <v>8</v>
      </c>
      <c r="Y1445" t="s">
        <v>6969</v>
      </c>
      <c r="Z1445" t="s">
        <v>8833</v>
      </c>
      <c r="AA1445">
        <v>1.446347401895606</v>
      </c>
      <c r="AB1445" t="str">
        <f>HYPERLINK("Melting_Curves/meltCurve_Q15375_4_EPHA7.pdf", "Melting_Curves/meltCurve_Q15375_4_EPHA7.pdf")</f>
        <v>Melting_Curves/meltCurve_Q15375_4_EPHA7.pdf</v>
      </c>
    </row>
    <row r="1446" spans="1:28" x14ac:dyDescent="0.25">
      <c r="A1446" t="s">
        <v>1450</v>
      </c>
      <c r="B1446">
        <v>1</v>
      </c>
      <c r="C1446">
        <v>1.0988905441430099</v>
      </c>
      <c r="D1446">
        <v>1.6188842716010701</v>
      </c>
      <c r="E1446">
        <v>2.30692331817469</v>
      </c>
      <c r="F1446">
        <v>1.95617061314098</v>
      </c>
      <c r="G1446">
        <v>2.20127018974439</v>
      </c>
      <c r="H1446">
        <v>1.5285204641681001</v>
      </c>
      <c r="I1446">
        <v>2.6428963462443198</v>
      </c>
      <c r="J1446">
        <v>3.0010192880664901</v>
      </c>
      <c r="K1446">
        <v>2.6764152422769301</v>
      </c>
      <c r="L1446">
        <v>10785.069405631401</v>
      </c>
      <c r="M1446">
        <v>250</v>
      </c>
      <c r="O1446">
        <v>43.137510001835601</v>
      </c>
      <c r="P1446">
        <v>0.72442741834344204</v>
      </c>
      <c r="Q1446">
        <v>1.5</v>
      </c>
      <c r="R1446">
        <v>-0.50613816634957698</v>
      </c>
      <c r="S1446" t="s">
        <v>3320</v>
      </c>
      <c r="T1446" t="s">
        <v>3746</v>
      </c>
      <c r="U1446" t="s">
        <v>3746</v>
      </c>
      <c r="V1446" t="s">
        <v>3746</v>
      </c>
      <c r="W1446" t="s">
        <v>5180</v>
      </c>
      <c r="X1446">
        <v>8</v>
      </c>
      <c r="Y1446" t="s">
        <v>6970</v>
      </c>
      <c r="Z1446" t="s">
        <v>8834</v>
      </c>
      <c r="AA1446">
        <v>1.4476241843592741</v>
      </c>
      <c r="AB1446" t="str">
        <f>HYPERLINK("Melting_Curves/meltCurve_Q15435_PPP1R7.pdf", "Melting_Curves/meltCurve_Q15435_PPP1R7.pdf")</f>
        <v>Melting_Curves/meltCurve_Q15435_PPP1R7.pdf</v>
      </c>
    </row>
    <row r="1447" spans="1:28" x14ac:dyDescent="0.25">
      <c r="A1447" t="s">
        <v>1451</v>
      </c>
      <c r="B1447">
        <v>1</v>
      </c>
      <c r="C1447">
        <v>1.0152164972680799</v>
      </c>
      <c r="D1447">
        <v>1.4371071029904201</v>
      </c>
      <c r="E1447">
        <v>1.90599847247518</v>
      </c>
      <c r="F1447">
        <v>1.6452617355032</v>
      </c>
      <c r="G1447">
        <v>1.71793666647083</v>
      </c>
      <c r="H1447">
        <v>1.1173256565419201</v>
      </c>
      <c r="I1447">
        <v>1.75994359908349</v>
      </c>
      <c r="J1447">
        <v>1.82633217789789</v>
      </c>
      <c r="K1447">
        <v>1.65924446272252</v>
      </c>
      <c r="L1447">
        <v>3712.68973433772</v>
      </c>
      <c r="M1447">
        <v>82.681697838901798</v>
      </c>
      <c r="O1447">
        <v>44.877156620273901</v>
      </c>
      <c r="P1447">
        <v>0.230300094654207</v>
      </c>
      <c r="Q1447">
        <v>1.5</v>
      </c>
      <c r="R1447">
        <v>0.45725360054096098</v>
      </c>
      <c r="S1447" t="s">
        <v>3321</v>
      </c>
      <c r="T1447" t="s">
        <v>3746</v>
      </c>
      <c r="U1447" t="s">
        <v>3746</v>
      </c>
      <c r="V1447" t="s">
        <v>3746</v>
      </c>
      <c r="W1447" t="s">
        <v>5181</v>
      </c>
      <c r="X1447">
        <v>3</v>
      </c>
      <c r="Y1447" t="s">
        <v>6971</v>
      </c>
      <c r="Z1447" t="s">
        <v>8835</v>
      </c>
      <c r="AA1447">
        <v>1.417915425663598</v>
      </c>
      <c r="AB1447" t="str">
        <f>HYPERLINK("Melting_Curves/meltCurve_Q15485_FCN2.pdf", "Melting_Curves/meltCurve_Q15485_FCN2.pdf")</f>
        <v>Melting_Curves/meltCurve_Q15485_FCN2.pdf</v>
      </c>
    </row>
    <row r="1448" spans="1:28" x14ac:dyDescent="0.25">
      <c r="A1448" t="s">
        <v>1452</v>
      </c>
      <c r="B1448">
        <v>1</v>
      </c>
      <c r="C1448">
        <v>0.83540893835011498</v>
      </c>
      <c r="D1448">
        <v>0.97323794382617901</v>
      </c>
      <c r="E1448">
        <v>1.32330860272037</v>
      </c>
      <c r="F1448">
        <v>0.75666843313902099</v>
      </c>
      <c r="G1448">
        <v>0.82304363186716101</v>
      </c>
      <c r="H1448">
        <v>0.71926338102808696</v>
      </c>
      <c r="I1448">
        <v>0.94232467761879501</v>
      </c>
      <c r="J1448">
        <v>0.999690867337926</v>
      </c>
      <c r="K1448">
        <v>0.82834304893128397</v>
      </c>
      <c r="L1448">
        <v>2494.4808034820499</v>
      </c>
      <c r="M1448">
        <v>47.783665067235198</v>
      </c>
      <c r="O1448">
        <v>52.112447550835803</v>
      </c>
      <c r="P1448">
        <v>-3.4327256473574499E-2</v>
      </c>
      <c r="Q1448">
        <v>0.85025214190614795</v>
      </c>
      <c r="R1448">
        <v>0.21372283307388401</v>
      </c>
      <c r="S1448" t="s">
        <v>3322</v>
      </c>
      <c r="T1448" t="s">
        <v>3746</v>
      </c>
      <c r="U1448" t="s">
        <v>3746</v>
      </c>
      <c r="V1448" t="s">
        <v>3746</v>
      </c>
      <c r="W1448" t="s">
        <v>5182</v>
      </c>
      <c r="X1448">
        <v>6</v>
      </c>
      <c r="Y1448" t="s">
        <v>6972</v>
      </c>
      <c r="Z1448" t="s">
        <v>8836</v>
      </c>
      <c r="AA1448">
        <v>0.91154543386201503</v>
      </c>
      <c r="AB1448" t="str">
        <f>HYPERLINK("Melting_Curves/meltCurve_Q15599_2_SLC9A3R2.pdf", "Melting_Curves/meltCurve_Q15599_2_SLC9A3R2.pdf")</f>
        <v>Melting_Curves/meltCurve_Q15599_2_SLC9A3R2.pdf</v>
      </c>
    </row>
    <row r="1449" spans="1:28" x14ac:dyDescent="0.25">
      <c r="A1449" t="s">
        <v>1453</v>
      </c>
      <c r="B1449">
        <v>1</v>
      </c>
      <c r="C1449">
        <v>0.92114854653747003</v>
      </c>
      <c r="D1449">
        <v>1.5574273268734999</v>
      </c>
      <c r="E1449">
        <v>2.00555604942662</v>
      </c>
      <c r="F1449">
        <v>1.3996799715530299</v>
      </c>
      <c r="G1449">
        <v>1.6003644768423899</v>
      </c>
      <c r="H1449">
        <v>1.0696950840074699</v>
      </c>
      <c r="I1449">
        <v>1.6124988887901099</v>
      </c>
      <c r="J1449">
        <v>1.57587341096986</v>
      </c>
      <c r="K1449">
        <v>1.58889679082585</v>
      </c>
      <c r="L1449">
        <v>11107.5085338264</v>
      </c>
      <c r="M1449">
        <v>250</v>
      </c>
      <c r="O1449">
        <v>44.427190911249298</v>
      </c>
      <c r="P1449">
        <v>0.70339806316967501</v>
      </c>
      <c r="Q1449">
        <v>1.5</v>
      </c>
      <c r="R1449">
        <v>0.518117953455414</v>
      </c>
      <c r="S1449" t="s">
        <v>3323</v>
      </c>
      <c r="T1449" t="s">
        <v>3746</v>
      </c>
      <c r="U1449" t="s">
        <v>3746</v>
      </c>
      <c r="V1449" t="s">
        <v>3746</v>
      </c>
      <c r="W1449" t="s">
        <v>5183</v>
      </c>
      <c r="X1449">
        <v>3</v>
      </c>
      <c r="Y1449" t="s">
        <v>6973</v>
      </c>
      <c r="Z1449" t="s">
        <v>8837</v>
      </c>
      <c r="AA1449">
        <v>1.426127110735693</v>
      </c>
      <c r="AB1449" t="str">
        <f>HYPERLINK("Melting_Curves/meltCurve_Q15738_NSDHL.pdf", "Melting_Curves/meltCurve_Q15738_NSDHL.pdf")</f>
        <v>Melting_Curves/meltCurve_Q15738_NSDHL.pdf</v>
      </c>
    </row>
    <row r="1450" spans="1:28" x14ac:dyDescent="0.25">
      <c r="A1450" t="s">
        <v>1454</v>
      </c>
      <c r="B1450">
        <v>1</v>
      </c>
      <c r="C1450">
        <v>0.85002369828695201</v>
      </c>
      <c r="D1450">
        <v>1.3195206175096501</v>
      </c>
      <c r="E1450">
        <v>1.4789762340036601</v>
      </c>
      <c r="F1450">
        <v>0.83756517028911903</v>
      </c>
      <c r="G1450">
        <v>0.61786850836211005</v>
      </c>
      <c r="H1450">
        <v>0.94732209357437902</v>
      </c>
      <c r="I1450">
        <v>0.90717042453788299</v>
      </c>
      <c r="J1450">
        <v>1.10630374432934</v>
      </c>
      <c r="K1450">
        <v>1.0455684203399001</v>
      </c>
      <c r="S1450" t="s">
        <v>3324</v>
      </c>
      <c r="T1450" t="s">
        <v>3746</v>
      </c>
      <c r="U1450" t="s">
        <v>3747</v>
      </c>
      <c r="V1450" t="s">
        <v>3746</v>
      </c>
      <c r="W1450" t="s">
        <v>5184</v>
      </c>
      <c r="X1450">
        <v>3</v>
      </c>
      <c r="Y1450" t="s">
        <v>6974</v>
      </c>
      <c r="Z1450" t="s">
        <v>8838</v>
      </c>
      <c r="AB1450" t="str">
        <f>HYPERLINK("Melting_Curves/meltCurve_Q15758_SLC1A5.pdf", "Melting_Curves/meltCurve_Q15758_SLC1A5.pdf")</f>
        <v>Melting_Curves/meltCurve_Q15758_SLC1A5.pdf</v>
      </c>
    </row>
    <row r="1451" spans="1:28" x14ac:dyDescent="0.25">
      <c r="A1451" t="s">
        <v>1455</v>
      </c>
      <c r="B1451">
        <v>1</v>
      </c>
      <c r="C1451">
        <v>0.92348842796508401</v>
      </c>
      <c r="D1451">
        <v>1.07619123888844</v>
      </c>
      <c r="E1451">
        <v>1.4118042764475101</v>
      </c>
      <c r="F1451">
        <v>1.00052854969168</v>
      </c>
      <c r="G1451">
        <v>1.53655802034115</v>
      </c>
      <c r="H1451">
        <v>1.4792504204372501</v>
      </c>
      <c r="I1451">
        <v>2.7633538880435702</v>
      </c>
      <c r="J1451">
        <v>2.7652758869223999</v>
      </c>
      <c r="K1451">
        <v>2.5176583646992898</v>
      </c>
      <c r="L1451">
        <v>1203.0404175732599</v>
      </c>
      <c r="M1451">
        <v>23.6671937985715</v>
      </c>
      <c r="O1451">
        <v>50.472828732875897</v>
      </c>
      <c r="P1451">
        <v>5.8614678826195803E-2</v>
      </c>
      <c r="Q1451">
        <v>1.5</v>
      </c>
      <c r="R1451">
        <v>0.119032302927454</v>
      </c>
      <c r="S1451" t="s">
        <v>3325</v>
      </c>
      <c r="T1451" t="s">
        <v>3746</v>
      </c>
      <c r="U1451" t="s">
        <v>3746</v>
      </c>
      <c r="V1451" t="s">
        <v>3746</v>
      </c>
      <c r="W1451" t="s">
        <v>5185</v>
      </c>
      <c r="X1451">
        <v>6</v>
      </c>
      <c r="Y1451" t="s">
        <v>6975</v>
      </c>
      <c r="Z1451" t="s">
        <v>8839</v>
      </c>
      <c r="AA1451">
        <v>1.314452319672849</v>
      </c>
      <c r="AB1451" t="str">
        <f>HYPERLINK("Melting_Curves/meltCurve_Q15782_6_CHI3L2.pdf", "Melting_Curves/meltCurve_Q15782_6_CHI3L2.pdf")</f>
        <v>Melting_Curves/meltCurve_Q15782_6_CHI3L2.pdf</v>
      </c>
    </row>
    <row r="1452" spans="1:28" x14ac:dyDescent="0.25">
      <c r="A1452" t="s">
        <v>1456</v>
      </c>
      <c r="B1452">
        <v>1</v>
      </c>
      <c r="C1452">
        <v>1.3343551316984601</v>
      </c>
      <c r="D1452">
        <v>1.3337874659400499</v>
      </c>
      <c r="E1452">
        <v>1.61529291553134</v>
      </c>
      <c r="F1452">
        <v>1.11574704813806</v>
      </c>
      <c r="G1452">
        <v>1.12778156221617</v>
      </c>
      <c r="H1452">
        <v>0.66399863760218003</v>
      </c>
      <c r="I1452">
        <v>1.05790190735695</v>
      </c>
      <c r="J1452">
        <v>1.1960149863760201</v>
      </c>
      <c r="K1452">
        <v>1.0214009990917301</v>
      </c>
      <c r="L1452">
        <v>10230.619689769201</v>
      </c>
      <c r="M1452">
        <v>250</v>
      </c>
      <c r="O1452">
        <v>40.919860792719803</v>
      </c>
      <c r="P1452">
        <v>0.248839876909214</v>
      </c>
      <c r="Q1452">
        <v>1.1629198865863</v>
      </c>
      <c r="R1452">
        <v>4.1787545748226997E-2</v>
      </c>
      <c r="S1452" t="s">
        <v>3326</v>
      </c>
      <c r="T1452" t="s">
        <v>3746</v>
      </c>
      <c r="U1452" t="s">
        <v>3746</v>
      </c>
      <c r="V1452" t="s">
        <v>3746</v>
      </c>
      <c r="W1452" t="s">
        <v>5186</v>
      </c>
      <c r="X1452">
        <v>2</v>
      </c>
      <c r="Y1452" t="s">
        <v>6976</v>
      </c>
      <c r="Z1452" t="s">
        <v>8840</v>
      </c>
      <c r="AA1452">
        <v>1.157895877872424</v>
      </c>
      <c r="AB1452" t="str">
        <f>HYPERLINK("Melting_Curves/meltCurve_Q15828_CST6.pdf", "Melting_Curves/meltCurve_Q15828_CST6.pdf")</f>
        <v>Melting_Curves/meltCurve_Q15828_CST6.pdf</v>
      </c>
    </row>
    <row r="1453" spans="1:28" x14ac:dyDescent="0.25">
      <c r="A1453" t="s">
        <v>1457</v>
      </c>
      <c r="B1453">
        <v>1</v>
      </c>
      <c r="C1453">
        <v>1.09156367864756</v>
      </c>
      <c r="D1453">
        <v>1.6880096602513499</v>
      </c>
      <c r="E1453">
        <v>2.4272872284917799</v>
      </c>
      <c r="F1453">
        <v>1.8885195068501299</v>
      </c>
      <c r="G1453">
        <v>2.2404925535562499</v>
      </c>
      <c r="H1453">
        <v>1.9700651470654</v>
      </c>
      <c r="I1453">
        <v>2.93072347530524</v>
      </c>
      <c r="J1453">
        <v>3.08859702738562</v>
      </c>
      <c r="K1453">
        <v>2.7908883555210999</v>
      </c>
      <c r="L1453">
        <v>10789.1483021247</v>
      </c>
      <c r="M1453">
        <v>250</v>
      </c>
      <c r="O1453">
        <v>43.1538264395748</v>
      </c>
      <c r="P1453">
        <v>0.724153544736165</v>
      </c>
      <c r="Q1453">
        <v>1.5</v>
      </c>
      <c r="R1453">
        <v>-0.70294447076808897</v>
      </c>
      <c r="S1453" t="s">
        <v>3327</v>
      </c>
      <c r="T1453" t="s">
        <v>3746</v>
      </c>
      <c r="U1453" t="s">
        <v>3746</v>
      </c>
      <c r="V1453" t="s">
        <v>3746</v>
      </c>
      <c r="W1453" t="s">
        <v>5187</v>
      </c>
      <c r="X1453">
        <v>14</v>
      </c>
      <c r="Y1453" t="s">
        <v>6977</v>
      </c>
      <c r="Z1453" t="s">
        <v>8841</v>
      </c>
      <c r="AA1453">
        <v>1.4473522436103461</v>
      </c>
      <c r="AB1453" t="str">
        <f>HYPERLINK("Melting_Curves/meltCurve_Q15833_STXBP2.pdf", "Melting_Curves/meltCurve_Q15833_STXBP2.pdf")</f>
        <v>Melting_Curves/meltCurve_Q15833_STXBP2.pdf</v>
      </c>
    </row>
    <row r="1454" spans="1:28" x14ac:dyDescent="0.25">
      <c r="A1454" t="s">
        <v>1458</v>
      </c>
      <c r="B1454">
        <v>1</v>
      </c>
      <c r="C1454">
        <v>1.06477102545913</v>
      </c>
      <c r="D1454">
        <v>1.25470954520375</v>
      </c>
      <c r="E1454">
        <v>1.2502758729408101</v>
      </c>
      <c r="F1454">
        <v>0.99365492236147201</v>
      </c>
      <c r="G1454">
        <v>1.05994324899503</v>
      </c>
      <c r="H1454">
        <v>0.63121699377315399</v>
      </c>
      <c r="I1454">
        <v>1.05107590446914</v>
      </c>
      <c r="J1454">
        <v>1.0796090486324601</v>
      </c>
      <c r="K1454">
        <v>0.87130527311421102</v>
      </c>
      <c r="L1454">
        <v>3087.06760001054</v>
      </c>
      <c r="M1454">
        <v>53.232537103324397</v>
      </c>
      <c r="O1454">
        <v>57.910450891198401</v>
      </c>
      <c r="P1454">
        <v>-1.8588525191940299E-2</v>
      </c>
      <c r="Q1454">
        <v>0.91911194128895302</v>
      </c>
      <c r="R1454">
        <v>6.9907486918099906E-2</v>
      </c>
      <c r="S1454" t="s">
        <v>3328</v>
      </c>
      <c r="T1454" t="s">
        <v>3746</v>
      </c>
      <c r="U1454" t="s">
        <v>3746</v>
      </c>
      <c r="V1454" t="s">
        <v>3746</v>
      </c>
      <c r="W1454" t="s">
        <v>5188</v>
      </c>
      <c r="X1454">
        <v>1</v>
      </c>
      <c r="Y1454" t="s">
        <v>6978</v>
      </c>
      <c r="Z1454" t="s">
        <v>8842</v>
      </c>
      <c r="AA1454">
        <v>0.96780546872054274</v>
      </c>
      <c r="AB1454" t="str">
        <f>HYPERLINK("Melting_Curves/meltCurve_Q15848_ADIPOQ.pdf", "Melting_Curves/meltCurve_Q15848_ADIPOQ.pdf")</f>
        <v>Melting_Curves/meltCurve_Q15848_ADIPOQ.pdf</v>
      </c>
    </row>
    <row r="1455" spans="1:28" x14ac:dyDescent="0.25">
      <c r="A1455" t="s">
        <v>1459</v>
      </c>
      <c r="B1455">
        <v>1</v>
      </c>
      <c r="C1455">
        <v>1.0719953551383801</v>
      </c>
      <c r="D1455">
        <v>1.5596864718405301</v>
      </c>
      <c r="E1455">
        <v>2.07664021676021</v>
      </c>
      <c r="F1455">
        <v>1.6600735436423499</v>
      </c>
      <c r="G1455">
        <v>1.9818076253145001</v>
      </c>
      <c r="H1455">
        <v>1.18225275788659</v>
      </c>
      <c r="I1455">
        <v>1.88627830462551</v>
      </c>
      <c r="J1455">
        <v>1.7932455970582499</v>
      </c>
      <c r="K1455">
        <v>1.6367137604025499</v>
      </c>
      <c r="L1455">
        <v>10801.470561829999</v>
      </c>
      <c r="M1455">
        <v>250</v>
      </c>
      <c r="O1455">
        <v>43.203133056556297</v>
      </c>
      <c r="P1455">
        <v>0.72332743291815105</v>
      </c>
      <c r="Q1455">
        <v>1.5</v>
      </c>
      <c r="R1455">
        <v>0.275724804706522</v>
      </c>
      <c r="S1455" t="s">
        <v>3329</v>
      </c>
      <c r="T1455" t="s">
        <v>3746</v>
      </c>
      <c r="U1455" t="s">
        <v>3746</v>
      </c>
      <c r="V1455" t="s">
        <v>3746</v>
      </c>
      <c r="W1455" t="s">
        <v>5189</v>
      </c>
      <c r="X1455">
        <v>7</v>
      </c>
      <c r="Y1455" t="s">
        <v>6979</v>
      </c>
      <c r="Z1455" t="s">
        <v>8843</v>
      </c>
      <c r="AA1455">
        <v>1.4465307163810091</v>
      </c>
      <c r="AB1455" t="str">
        <f>HYPERLINK("Melting_Curves/meltCurve_Q15904_ATP6AP1.pdf", "Melting_Curves/meltCurve_Q15904_ATP6AP1.pdf")</f>
        <v>Melting_Curves/meltCurve_Q15904_ATP6AP1.pdf</v>
      </c>
    </row>
    <row r="1456" spans="1:28" x14ac:dyDescent="0.25">
      <c r="A1456" t="s">
        <v>1460</v>
      </c>
      <c r="B1456">
        <v>1</v>
      </c>
      <c r="C1456">
        <v>1.02367523609654</v>
      </c>
      <c r="D1456">
        <v>1.6544464847848901</v>
      </c>
      <c r="E1456">
        <v>2.2939401888772299</v>
      </c>
      <c r="F1456">
        <v>1.5907660020986401</v>
      </c>
      <c r="G1456">
        <v>1.89316631689402</v>
      </c>
      <c r="H1456">
        <v>1.2721012591815299</v>
      </c>
      <c r="I1456">
        <v>1.9921956977964299</v>
      </c>
      <c r="J1456">
        <v>2.0186253934942302</v>
      </c>
      <c r="K1456">
        <v>1.8237801678908701</v>
      </c>
      <c r="L1456">
        <v>10853.7668618607</v>
      </c>
      <c r="M1456">
        <v>250</v>
      </c>
      <c r="O1456">
        <v>43.412289198140599</v>
      </c>
      <c r="P1456">
        <v>0.71984225281164205</v>
      </c>
      <c r="Q1456">
        <v>1.5</v>
      </c>
      <c r="R1456">
        <v>0.13546226048394799</v>
      </c>
      <c r="S1456" t="s">
        <v>3330</v>
      </c>
      <c r="T1456" t="s">
        <v>3746</v>
      </c>
      <c r="U1456" t="s">
        <v>3746</v>
      </c>
      <c r="V1456" t="s">
        <v>3746</v>
      </c>
      <c r="W1456" t="s">
        <v>5190</v>
      </c>
      <c r="X1456">
        <v>8</v>
      </c>
      <c r="Y1456" t="s">
        <v>6980</v>
      </c>
      <c r="Z1456" t="s">
        <v>8844</v>
      </c>
      <c r="AA1456">
        <v>1.443044112824148</v>
      </c>
      <c r="AB1456" t="str">
        <f>HYPERLINK("Melting_Curves/meltCurve_Q15907_RAB11B.pdf", "Melting_Curves/meltCurve_Q15907_RAB11B.pdf")</f>
        <v>Melting_Curves/meltCurve_Q15907_RAB11B.pdf</v>
      </c>
    </row>
    <row r="1457" spans="1:28" x14ac:dyDescent="0.25">
      <c r="A1457" t="s">
        <v>1461</v>
      </c>
      <c r="B1457">
        <v>1</v>
      </c>
      <c r="C1457">
        <v>1.2413399586315099</v>
      </c>
      <c r="D1457">
        <v>1.97560685670811</v>
      </c>
      <c r="E1457">
        <v>2.2966881434107602</v>
      </c>
      <c r="F1457">
        <v>1.7474144694610201</v>
      </c>
      <c r="G1457">
        <v>2.11809039252514</v>
      </c>
      <c r="H1457">
        <v>1.68833361070826</v>
      </c>
      <c r="I1457">
        <v>2.9699721832576498</v>
      </c>
      <c r="J1457">
        <v>2.6953710087729701</v>
      </c>
      <c r="K1457">
        <v>2.65257602054159</v>
      </c>
      <c r="S1457" t="s">
        <v>3331</v>
      </c>
      <c r="T1457" t="s">
        <v>3746</v>
      </c>
      <c r="U1457" t="s">
        <v>3747</v>
      </c>
      <c r="V1457" t="s">
        <v>3746</v>
      </c>
      <c r="W1457" t="s">
        <v>5191</v>
      </c>
      <c r="X1457">
        <v>3</v>
      </c>
      <c r="Y1457" t="s">
        <v>6981</v>
      </c>
      <c r="Z1457" t="s">
        <v>8845</v>
      </c>
      <c r="AB1457" t="str">
        <f>HYPERLINK("Melting_Curves/meltCurve_Q16222_2_UAP1.pdf", "Melting_Curves/meltCurve_Q16222_2_UAP1.pdf")</f>
        <v>Melting_Curves/meltCurve_Q16222_2_UAP1.pdf</v>
      </c>
    </row>
    <row r="1458" spans="1:28" x14ac:dyDescent="0.25">
      <c r="A1458" t="s">
        <v>1462</v>
      </c>
      <c r="B1458">
        <v>1</v>
      </c>
      <c r="C1458">
        <v>0.94527976337194997</v>
      </c>
      <c r="D1458">
        <v>1.1187577027360101</v>
      </c>
      <c r="E1458">
        <v>1.2361350751786999</v>
      </c>
      <c r="F1458">
        <v>0.98604880453537103</v>
      </c>
      <c r="G1458">
        <v>0.99911264481143702</v>
      </c>
      <c r="H1458">
        <v>0.59368991865910803</v>
      </c>
      <c r="I1458">
        <v>0.89632733546955901</v>
      </c>
      <c r="J1458">
        <v>0.83288143948730597</v>
      </c>
      <c r="K1458">
        <v>0.78225289622874095</v>
      </c>
      <c r="L1458">
        <v>14547.4982885719</v>
      </c>
      <c r="M1458">
        <v>250</v>
      </c>
      <c r="O1458">
        <v>58.186269883059701</v>
      </c>
      <c r="P1458">
        <v>-0.240297003664077</v>
      </c>
      <c r="Q1458">
        <v>0.77628822127683605</v>
      </c>
      <c r="R1458">
        <v>0.56791579400227898</v>
      </c>
      <c r="S1458" t="s">
        <v>3332</v>
      </c>
      <c r="T1458" t="s">
        <v>3746</v>
      </c>
      <c r="U1458" t="s">
        <v>3746</v>
      </c>
      <c r="V1458" t="s">
        <v>3746</v>
      </c>
      <c r="W1458" t="s">
        <v>5192</v>
      </c>
      <c r="X1458">
        <v>4</v>
      </c>
      <c r="Y1458" t="s">
        <v>6982</v>
      </c>
      <c r="Z1458" t="s">
        <v>8846</v>
      </c>
      <c r="AA1458">
        <v>0.91195492474045736</v>
      </c>
      <c r="AB1458" t="str">
        <f>HYPERLINK("Melting_Curves/meltCurve_Q16270_2_IGFBP7.pdf", "Melting_Curves/meltCurve_Q16270_2_IGFBP7.pdf")</f>
        <v>Melting_Curves/meltCurve_Q16270_2_IGFBP7.pdf</v>
      </c>
    </row>
    <row r="1459" spans="1:28" x14ac:dyDescent="0.25">
      <c r="A1459" t="s">
        <v>1463</v>
      </c>
      <c r="B1459">
        <v>1</v>
      </c>
      <c r="C1459">
        <v>0.84652928416485895</v>
      </c>
      <c r="D1459">
        <v>1.2988903721007801</v>
      </c>
      <c r="E1459">
        <v>1.5381695311196399</v>
      </c>
      <c r="F1459">
        <v>0.80990322042382801</v>
      </c>
      <c r="G1459">
        <v>0.90939429334223298</v>
      </c>
      <c r="H1459">
        <v>0.69743867845820096</v>
      </c>
      <c r="I1459">
        <v>1.0508927081595201</v>
      </c>
      <c r="J1459">
        <v>1.0968630068413101</v>
      </c>
      <c r="K1459">
        <v>0.98076923076923095</v>
      </c>
      <c r="S1459" t="s">
        <v>3333</v>
      </c>
      <c r="T1459" t="s">
        <v>3746</v>
      </c>
      <c r="U1459" t="s">
        <v>3747</v>
      </c>
      <c r="V1459" t="s">
        <v>3746</v>
      </c>
      <c r="W1459" t="s">
        <v>5193</v>
      </c>
      <c r="X1459">
        <v>3</v>
      </c>
      <c r="Y1459" t="s">
        <v>6983</v>
      </c>
      <c r="Z1459" t="s">
        <v>8847</v>
      </c>
      <c r="AB1459" t="str">
        <f>HYPERLINK("Melting_Curves/meltCurve_Q16348_2_SLC15A2.pdf", "Melting_Curves/meltCurve_Q16348_2_SLC15A2.pdf")</f>
        <v>Melting_Curves/meltCurve_Q16348_2_SLC15A2.pdf</v>
      </c>
    </row>
    <row r="1460" spans="1:28" x14ac:dyDescent="0.25">
      <c r="A1460" t="s">
        <v>1464</v>
      </c>
      <c r="B1460">
        <v>1</v>
      </c>
      <c r="C1460">
        <v>1.23840455040202</v>
      </c>
      <c r="D1460">
        <v>1.7454443313085899</v>
      </c>
      <c r="E1460">
        <v>2.4961553316245899</v>
      </c>
      <c r="F1460">
        <v>1.66886696394087</v>
      </c>
      <c r="G1460">
        <v>2.0088128928057301</v>
      </c>
      <c r="H1460">
        <v>1.1937431972192001</v>
      </c>
      <c r="I1460">
        <v>2.2478845546153599</v>
      </c>
      <c r="J1460">
        <v>1.9773182121414301</v>
      </c>
      <c r="K1460">
        <v>1.69871142164952</v>
      </c>
      <c r="L1460">
        <v>10728.982399120399</v>
      </c>
      <c r="M1460">
        <v>250</v>
      </c>
      <c r="O1460">
        <v>42.913183274395699</v>
      </c>
      <c r="P1460">
        <v>0.72821444743675401</v>
      </c>
      <c r="Q1460">
        <v>1.5</v>
      </c>
      <c r="R1460">
        <v>-9.6687469717500404E-2</v>
      </c>
      <c r="S1460" t="s">
        <v>3334</v>
      </c>
      <c r="T1460" t="s">
        <v>3746</v>
      </c>
      <c r="U1460" t="s">
        <v>3746</v>
      </c>
      <c r="V1460" t="s">
        <v>3746</v>
      </c>
      <c r="W1460" t="s">
        <v>5194</v>
      </c>
      <c r="X1460">
        <v>4</v>
      </c>
      <c r="Y1460" t="s">
        <v>6984</v>
      </c>
      <c r="Z1460" t="s">
        <v>8848</v>
      </c>
      <c r="AA1460">
        <v>1.4513635149676949</v>
      </c>
      <c r="AB1460" t="str">
        <f>HYPERLINK("Melting_Curves/meltCurve_Q16363_2_LAMA4.pdf", "Melting_Curves/meltCurve_Q16363_2_LAMA4.pdf")</f>
        <v>Melting_Curves/meltCurve_Q16363_2_LAMA4.pdf</v>
      </c>
    </row>
    <row r="1461" spans="1:28" x14ac:dyDescent="0.25">
      <c r="A1461" t="s">
        <v>1465</v>
      </c>
      <c r="B1461">
        <v>1</v>
      </c>
      <c r="C1461">
        <v>0.96441343218491105</v>
      </c>
      <c r="D1461">
        <v>1.65529873528129</v>
      </c>
      <c r="E1461">
        <v>2.2969908416921099</v>
      </c>
      <c r="F1461">
        <v>2.15769733972961</v>
      </c>
      <c r="G1461">
        <v>2.86166593981683</v>
      </c>
      <c r="H1461">
        <v>1.50091583078936</v>
      </c>
      <c r="I1461">
        <v>2.4458787614478799</v>
      </c>
      <c r="J1461">
        <v>2.3333624073266499</v>
      </c>
      <c r="K1461">
        <v>2.1660706498037499</v>
      </c>
      <c r="L1461">
        <v>11068.109613778601</v>
      </c>
      <c r="M1461">
        <v>250</v>
      </c>
      <c r="O1461">
        <v>44.269605356083801</v>
      </c>
      <c r="P1461">
        <v>0.70590193465447404</v>
      </c>
      <c r="Q1461">
        <v>1.5</v>
      </c>
      <c r="R1461">
        <v>-0.38519996529556499</v>
      </c>
      <c r="S1461" t="s">
        <v>3335</v>
      </c>
      <c r="T1461" t="s">
        <v>3746</v>
      </c>
      <c r="U1461" t="s">
        <v>3746</v>
      </c>
      <c r="V1461" t="s">
        <v>3746</v>
      </c>
      <c r="W1461" t="s">
        <v>5195</v>
      </c>
      <c r="X1461">
        <v>3</v>
      </c>
      <c r="Y1461" t="s">
        <v>6985</v>
      </c>
      <c r="Z1461" t="s">
        <v>8849</v>
      </c>
      <c r="AA1461">
        <v>1.4287538436945251</v>
      </c>
      <c r="AB1461" t="str">
        <f>HYPERLINK("Melting_Curves/meltCurve_Q16401_2_PSMD5.pdf", "Melting_Curves/meltCurve_Q16401_2_PSMD5.pdf")</f>
        <v>Melting_Curves/meltCurve_Q16401_2_PSMD5.pdf</v>
      </c>
    </row>
    <row r="1462" spans="1:28" x14ac:dyDescent="0.25">
      <c r="A1462" t="s">
        <v>1466</v>
      </c>
      <c r="B1462">
        <v>1</v>
      </c>
      <c r="C1462">
        <v>0.96120100273473097</v>
      </c>
      <c r="D1462">
        <v>1.7434480401093899</v>
      </c>
      <c r="E1462">
        <v>3.31494986326345</v>
      </c>
      <c r="F1462">
        <v>2.8641750227894298</v>
      </c>
      <c r="G1462">
        <v>3.6395852324521401</v>
      </c>
      <c r="H1462">
        <v>2.2202028258887898</v>
      </c>
      <c r="I1462">
        <v>3.65474020054695</v>
      </c>
      <c r="J1462">
        <v>3.61662488605287</v>
      </c>
      <c r="K1462">
        <v>3.2661804922515998</v>
      </c>
      <c r="L1462">
        <v>11059.8635053937</v>
      </c>
      <c r="M1462">
        <v>250</v>
      </c>
      <c r="O1462">
        <v>44.236624034797003</v>
      </c>
      <c r="P1462">
        <v>0.70642824709878904</v>
      </c>
      <c r="Q1462">
        <v>1.5</v>
      </c>
      <c r="R1462">
        <v>-1.17559348608345</v>
      </c>
      <c r="S1462" t="s">
        <v>3336</v>
      </c>
      <c r="T1462" t="s">
        <v>3746</v>
      </c>
      <c r="U1462" t="s">
        <v>3746</v>
      </c>
      <c r="V1462" t="s">
        <v>3746</v>
      </c>
      <c r="W1462" t="s">
        <v>5196</v>
      </c>
      <c r="X1462">
        <v>16</v>
      </c>
      <c r="Y1462" t="s">
        <v>6986</v>
      </c>
      <c r="Z1462" t="s">
        <v>8850</v>
      </c>
      <c r="AA1462">
        <v>1.4293036131971</v>
      </c>
      <c r="AB1462" t="str">
        <f>HYPERLINK("Melting_Curves/meltCurve_Q16555_2_DPYSL2.pdf", "Melting_Curves/meltCurve_Q16555_2_DPYSL2.pdf")</f>
        <v>Melting_Curves/meltCurve_Q16555_2_DPYSL2.pdf</v>
      </c>
    </row>
    <row r="1463" spans="1:28" x14ac:dyDescent="0.25">
      <c r="A1463" t="s">
        <v>1467</v>
      </c>
      <c r="B1463">
        <v>1</v>
      </c>
      <c r="C1463">
        <v>1.0132663972307301</v>
      </c>
      <c r="D1463">
        <v>1.26927886619425</v>
      </c>
      <c r="E1463">
        <v>1.43074106964859</v>
      </c>
      <c r="F1463">
        <v>1.09319100349783</v>
      </c>
      <c r="G1463">
        <v>1.1315221922177701</v>
      </c>
      <c r="H1463">
        <v>0.74192145277923804</v>
      </c>
      <c r="I1463">
        <v>1.0118708882324201</v>
      </c>
      <c r="J1463">
        <v>0.98296391612447198</v>
      </c>
      <c r="K1463">
        <v>0.966743389455751</v>
      </c>
      <c r="L1463">
        <v>2200.9029346859502</v>
      </c>
      <c r="M1463">
        <v>37.508570952260101</v>
      </c>
      <c r="O1463">
        <v>58.511291809786101</v>
      </c>
      <c r="P1463">
        <v>-1.00380791776544E-2</v>
      </c>
      <c r="Q1463">
        <v>0.93736477897211801</v>
      </c>
      <c r="R1463">
        <v>-9.2446170671135697E-2</v>
      </c>
      <c r="S1463" t="s">
        <v>3337</v>
      </c>
      <c r="T1463" t="s">
        <v>3746</v>
      </c>
      <c r="U1463" t="s">
        <v>3746</v>
      </c>
      <c r="V1463" t="s">
        <v>3746</v>
      </c>
      <c r="W1463" t="s">
        <v>5197</v>
      </c>
      <c r="X1463">
        <v>9</v>
      </c>
      <c r="Y1463" t="s">
        <v>6987</v>
      </c>
      <c r="Z1463" t="s">
        <v>8851</v>
      </c>
      <c r="AA1463">
        <v>0.97663790713944776</v>
      </c>
      <c r="AB1463" t="str">
        <f>HYPERLINK("Melting_Curves/meltCurve_Q16610_ECM1.pdf", "Melting_Curves/meltCurve_Q16610_ECM1.pdf")</f>
        <v>Melting_Curves/meltCurve_Q16610_ECM1.pdf</v>
      </c>
    </row>
    <row r="1464" spans="1:28" x14ac:dyDescent="0.25">
      <c r="A1464" t="s">
        <v>1468</v>
      </c>
      <c r="B1464">
        <v>1</v>
      </c>
      <c r="C1464">
        <v>0.99529083005588903</v>
      </c>
      <c r="D1464">
        <v>1.1960774166839201</v>
      </c>
      <c r="E1464">
        <v>1.3698509625336399</v>
      </c>
      <c r="F1464">
        <v>0.85318774580832102</v>
      </c>
      <c r="G1464">
        <v>1.0388635893189799</v>
      </c>
      <c r="H1464">
        <v>0.60199751604222695</v>
      </c>
      <c r="I1464">
        <v>0.94918236389981403</v>
      </c>
      <c r="J1464">
        <v>0.90938729041606303</v>
      </c>
      <c r="K1464">
        <v>0.81665286690126304</v>
      </c>
      <c r="L1464">
        <v>14684.002435689001</v>
      </c>
      <c r="M1464">
        <v>250</v>
      </c>
      <c r="O1464">
        <v>58.732257543205698</v>
      </c>
      <c r="P1464">
        <v>-0.19228078422734299</v>
      </c>
      <c r="Q1464">
        <v>0.81931066758441096</v>
      </c>
      <c r="R1464">
        <v>0.31310738135031202</v>
      </c>
      <c r="S1464" t="s">
        <v>3338</v>
      </c>
      <c r="T1464" t="s">
        <v>3746</v>
      </c>
      <c r="U1464" t="s">
        <v>3746</v>
      </c>
      <c r="V1464" t="s">
        <v>3746</v>
      </c>
      <c r="W1464" t="s">
        <v>5198</v>
      </c>
      <c r="X1464">
        <v>2</v>
      </c>
      <c r="Y1464" t="s">
        <v>6988</v>
      </c>
      <c r="Z1464" t="s">
        <v>8852</v>
      </c>
      <c r="AA1464">
        <v>0.93217586293395471</v>
      </c>
      <c r="AB1464" t="str">
        <f>HYPERLINK("Melting_Curves/meltCurve_Q16620_2_NTRK2.pdf", "Melting_Curves/meltCurve_Q16620_2_NTRK2.pdf")</f>
        <v>Melting_Curves/meltCurve_Q16620_2_NTRK2.pdf</v>
      </c>
    </row>
    <row r="1465" spans="1:28" x14ac:dyDescent="0.25">
      <c r="A1465" t="s">
        <v>1469</v>
      </c>
      <c r="B1465">
        <v>1</v>
      </c>
      <c r="C1465">
        <v>1.0086676735176301</v>
      </c>
      <c r="D1465">
        <v>1.2231597609823399</v>
      </c>
      <c r="E1465">
        <v>1.4030139864731801</v>
      </c>
      <c r="F1465">
        <v>1.05945892704708</v>
      </c>
      <c r="G1465">
        <v>1.1084115831637</v>
      </c>
      <c r="H1465">
        <v>0.714459255368048</v>
      </c>
      <c r="I1465">
        <v>1.0465559130606099</v>
      </c>
      <c r="J1465">
        <v>1.10795193381049</v>
      </c>
      <c r="K1465">
        <v>0.98939523277956498</v>
      </c>
      <c r="L1465">
        <v>1627.46282266603</v>
      </c>
      <c r="M1465">
        <v>24.234492236007899</v>
      </c>
      <c r="O1465">
        <v>66.702566311517302</v>
      </c>
      <c r="P1465">
        <v>3.7462856334903498E-3</v>
      </c>
      <c r="Q1465">
        <v>1.0412442010980001</v>
      </c>
      <c r="R1465">
        <v>-0.15131869856497501</v>
      </c>
      <c r="S1465" t="s">
        <v>3339</v>
      </c>
      <c r="T1465" t="s">
        <v>3746</v>
      </c>
      <c r="U1465" t="s">
        <v>3746</v>
      </c>
      <c r="V1465" t="s">
        <v>3746</v>
      </c>
      <c r="W1465" t="s">
        <v>5199</v>
      </c>
      <c r="X1465">
        <v>3</v>
      </c>
      <c r="Y1465" t="s">
        <v>6989</v>
      </c>
      <c r="Z1465" t="s">
        <v>8853</v>
      </c>
      <c r="AA1465">
        <v>1.0048374298499929</v>
      </c>
      <c r="AB1465" t="str">
        <f>HYPERLINK("Melting_Curves/meltCurve_Q16625_5_OCLN.pdf", "Melting_Curves/meltCurve_Q16625_5_OCLN.pdf")</f>
        <v>Melting_Curves/meltCurve_Q16625_5_OCLN.pdf</v>
      </c>
    </row>
    <row r="1466" spans="1:28" x14ac:dyDescent="0.25">
      <c r="A1466" t="s">
        <v>1470</v>
      </c>
      <c r="B1466">
        <v>1</v>
      </c>
      <c r="C1466">
        <v>0.99388599172810599</v>
      </c>
      <c r="D1466">
        <v>1.16399928070491</v>
      </c>
      <c r="E1466">
        <v>1.22864592699155</v>
      </c>
      <c r="F1466">
        <v>0.96097824132350296</v>
      </c>
      <c r="G1466">
        <v>1.03893184679015</v>
      </c>
      <c r="H1466">
        <v>0.550800215788527</v>
      </c>
      <c r="I1466">
        <v>0.83433734939758997</v>
      </c>
      <c r="J1466">
        <v>0.82530120481927705</v>
      </c>
      <c r="K1466">
        <v>0.81309117065276004</v>
      </c>
      <c r="L1466">
        <v>5500.0124071171904</v>
      </c>
      <c r="M1466">
        <v>94.021667782845299</v>
      </c>
      <c r="O1466">
        <v>58.470837599193501</v>
      </c>
      <c r="P1466">
        <v>-9.7758706397964495E-2</v>
      </c>
      <c r="Q1466">
        <v>0.75682060824865804</v>
      </c>
      <c r="R1466">
        <v>0.58352940640812101</v>
      </c>
      <c r="S1466" t="s">
        <v>3340</v>
      </c>
      <c r="T1466" t="s">
        <v>3746</v>
      </c>
      <c r="U1466" t="s">
        <v>3746</v>
      </c>
      <c r="V1466" t="s">
        <v>3746</v>
      </c>
      <c r="W1466" t="s">
        <v>5200</v>
      </c>
      <c r="X1466">
        <v>4</v>
      </c>
      <c r="Y1466" t="s">
        <v>6990</v>
      </c>
      <c r="Z1466" t="s">
        <v>8854</v>
      </c>
      <c r="AA1466">
        <v>0.90693597745694221</v>
      </c>
      <c r="AB1466" t="str">
        <f>HYPERLINK("Melting_Curves/meltCurve_Q16651_PRSS8.pdf", "Melting_Curves/meltCurve_Q16651_PRSS8.pdf")</f>
        <v>Melting_Curves/meltCurve_Q16651_PRSS8.pdf</v>
      </c>
    </row>
    <row r="1467" spans="1:28" x14ac:dyDescent="0.25">
      <c r="A1467" t="s">
        <v>1471</v>
      </c>
      <c r="B1467">
        <v>1</v>
      </c>
      <c r="C1467">
        <v>1.01709479015919</v>
      </c>
      <c r="D1467">
        <v>1.4002170767004301</v>
      </c>
      <c r="E1467">
        <v>1.7235709117221401</v>
      </c>
      <c r="F1467">
        <v>1.77717076700434</v>
      </c>
      <c r="G1467">
        <v>2.6345875542691801</v>
      </c>
      <c r="H1467">
        <v>1.8163892908827799</v>
      </c>
      <c r="I1467">
        <v>2.7244934876989899</v>
      </c>
      <c r="J1467">
        <v>2.70151953690304</v>
      </c>
      <c r="K1467">
        <v>2.51917510853835</v>
      </c>
      <c r="L1467">
        <v>3496.5146267320001</v>
      </c>
      <c r="M1467">
        <v>77.4218202185058</v>
      </c>
      <c r="O1467">
        <v>45.131772078923603</v>
      </c>
      <c r="P1467">
        <v>0.214432727917195</v>
      </c>
      <c r="Q1467">
        <v>1.5</v>
      </c>
      <c r="R1467">
        <v>-0.33148012043783898</v>
      </c>
      <c r="S1467" t="s">
        <v>3341</v>
      </c>
      <c r="T1467" t="s">
        <v>3746</v>
      </c>
      <c r="U1467" t="s">
        <v>3746</v>
      </c>
      <c r="V1467" t="s">
        <v>3746</v>
      </c>
      <c r="W1467" t="s">
        <v>5201</v>
      </c>
      <c r="X1467">
        <v>12</v>
      </c>
      <c r="Y1467" t="s">
        <v>6991</v>
      </c>
      <c r="Z1467" t="s">
        <v>8855</v>
      </c>
      <c r="AA1467">
        <v>1.4135543217858859</v>
      </c>
      <c r="AB1467" t="str">
        <f>HYPERLINK("Melting_Curves/meltCurve_Q16706_MAN2A1.pdf", "Melting_Curves/meltCurve_Q16706_MAN2A1.pdf")</f>
        <v>Melting_Curves/meltCurve_Q16706_MAN2A1.pdf</v>
      </c>
    </row>
    <row r="1468" spans="1:28" x14ac:dyDescent="0.25">
      <c r="A1468" t="s">
        <v>1472</v>
      </c>
      <c r="B1468">
        <v>1</v>
      </c>
      <c r="C1468">
        <v>1.14365024288688</v>
      </c>
      <c r="D1468">
        <v>1.46140797285835</v>
      </c>
      <c r="E1468">
        <v>2.0733287069164898</v>
      </c>
      <c r="F1468">
        <v>1.2364099005320399</v>
      </c>
      <c r="G1468">
        <v>1.2657105405197</v>
      </c>
      <c r="H1468">
        <v>1.2030996992829099</v>
      </c>
      <c r="I1468">
        <v>1.46148507980569</v>
      </c>
      <c r="J1468">
        <v>1.4806076027450099</v>
      </c>
      <c r="K1468">
        <v>1.3937851800447201</v>
      </c>
      <c r="L1468">
        <v>10757.065039093601</v>
      </c>
      <c r="M1468">
        <v>250</v>
      </c>
      <c r="O1468">
        <v>43.025506430115001</v>
      </c>
      <c r="P1468">
        <v>0.64929412780547802</v>
      </c>
      <c r="Q1468">
        <v>1.4469793403201401</v>
      </c>
      <c r="R1468">
        <v>0.30629706217437003</v>
      </c>
      <c r="S1468" t="s">
        <v>3342</v>
      </c>
      <c r="T1468" t="s">
        <v>3746</v>
      </c>
      <c r="U1468" t="s">
        <v>3746</v>
      </c>
      <c r="V1468" t="s">
        <v>3746</v>
      </c>
      <c r="W1468" t="s">
        <v>5202</v>
      </c>
      <c r="X1468">
        <v>8</v>
      </c>
      <c r="Y1468" t="s">
        <v>6992</v>
      </c>
      <c r="Z1468" t="s">
        <v>8856</v>
      </c>
      <c r="AA1468">
        <v>1.401826596241176</v>
      </c>
      <c r="AB1468" t="str">
        <f>HYPERLINK("Melting_Curves/meltCurve_Q16787_1_LAMA3.pdf", "Melting_Curves/meltCurve_Q16787_1_LAMA3.pdf")</f>
        <v>Melting_Curves/meltCurve_Q16787_1_LAMA3.pdf</v>
      </c>
    </row>
    <row r="1469" spans="1:28" x14ac:dyDescent="0.25">
      <c r="A1469" t="s">
        <v>1473</v>
      </c>
      <c r="B1469">
        <v>1</v>
      </c>
      <c r="C1469">
        <v>1.05949637217243</v>
      </c>
      <c r="D1469">
        <v>1.5412718736662401</v>
      </c>
      <c r="E1469">
        <v>2.1979228908806401</v>
      </c>
      <c r="F1469">
        <v>2.0190923317683902</v>
      </c>
      <c r="G1469">
        <v>4.9853464219661401</v>
      </c>
      <c r="H1469">
        <v>4.5357803385972399</v>
      </c>
      <c r="I1469">
        <v>6.0349978659837804</v>
      </c>
      <c r="J1469">
        <v>6.4048940105278103</v>
      </c>
      <c r="K1469">
        <v>6.0913358941527997</v>
      </c>
      <c r="S1469" t="s">
        <v>3343</v>
      </c>
      <c r="T1469" t="s">
        <v>3746</v>
      </c>
      <c r="U1469" t="s">
        <v>3747</v>
      </c>
      <c r="V1469" t="s">
        <v>3746</v>
      </c>
      <c r="W1469" t="s">
        <v>5203</v>
      </c>
      <c r="X1469">
        <v>28</v>
      </c>
      <c r="Y1469" t="s">
        <v>6993</v>
      </c>
      <c r="Z1469" t="s">
        <v>8857</v>
      </c>
      <c r="AB1469" t="str">
        <f>HYPERLINK("Melting_Curves/meltCurve_Q16851_UGP2.pdf", "Melting_Curves/meltCurve_Q16851_UGP2.pdf")</f>
        <v>Melting_Curves/meltCurve_Q16851_UGP2.pdf</v>
      </c>
    </row>
    <row r="1470" spans="1:28" x14ac:dyDescent="0.25">
      <c r="A1470" t="s">
        <v>1474</v>
      </c>
      <c r="B1470">
        <v>1</v>
      </c>
      <c r="C1470">
        <v>1.002143328204</v>
      </c>
      <c r="D1470">
        <v>1.41778412837986</v>
      </c>
      <c r="E1470">
        <v>1.94998900857331</v>
      </c>
      <c r="F1470">
        <v>1.63640360518795</v>
      </c>
      <c r="G1470">
        <v>3.0836447570894698</v>
      </c>
      <c r="H1470">
        <v>2.1784458122664301</v>
      </c>
      <c r="I1470">
        <v>4.9942295009892304</v>
      </c>
      <c r="J1470">
        <v>4.9087711584963696</v>
      </c>
      <c r="K1470">
        <v>4.1503627170806796</v>
      </c>
      <c r="S1470" t="s">
        <v>3344</v>
      </c>
      <c r="T1470" t="s">
        <v>3746</v>
      </c>
      <c r="U1470" t="s">
        <v>3747</v>
      </c>
      <c r="V1470" t="s">
        <v>3746</v>
      </c>
      <c r="W1470" t="s">
        <v>5204</v>
      </c>
      <c r="X1470">
        <v>28</v>
      </c>
      <c r="Y1470" t="s">
        <v>6993</v>
      </c>
      <c r="Z1470" t="s">
        <v>8858</v>
      </c>
      <c r="AB1470" t="str">
        <f>HYPERLINK("Melting_Curves/meltCurve_Q16851_2_UGP2.pdf", "Melting_Curves/meltCurve_Q16851_2_UGP2.pdf")</f>
        <v>Melting_Curves/meltCurve_Q16851_2_UGP2.pdf</v>
      </c>
    </row>
    <row r="1471" spans="1:28" x14ac:dyDescent="0.25">
      <c r="A1471" t="s">
        <v>1475</v>
      </c>
      <c r="B1471">
        <v>1</v>
      </c>
      <c r="C1471">
        <v>1.1097940435620099</v>
      </c>
      <c r="D1471">
        <v>1.6073492369239899</v>
      </c>
      <c r="E1471">
        <v>1.8342964389786101</v>
      </c>
      <c r="F1471">
        <v>1.2180076060650999</v>
      </c>
      <c r="G1471">
        <v>1.4844668345927801</v>
      </c>
      <c r="H1471">
        <v>0.85691707413443996</v>
      </c>
      <c r="I1471">
        <v>1.4216921025337099</v>
      </c>
      <c r="J1471">
        <v>1.2445794438682301</v>
      </c>
      <c r="K1471">
        <v>1.1897565071368601</v>
      </c>
      <c r="L1471">
        <v>10759.8413440558</v>
      </c>
      <c r="M1471">
        <v>250</v>
      </c>
      <c r="O1471">
        <v>43.036593079870997</v>
      </c>
      <c r="P1471">
        <v>0.51864729573401902</v>
      </c>
      <c r="Q1471">
        <v>1.3571331523496399</v>
      </c>
      <c r="R1471">
        <v>0.196843456193211</v>
      </c>
      <c r="S1471" t="s">
        <v>3345</v>
      </c>
      <c r="T1471" t="s">
        <v>3746</v>
      </c>
      <c r="U1471" t="s">
        <v>3746</v>
      </c>
      <c r="V1471" t="s">
        <v>3746</v>
      </c>
      <c r="W1471" t="s">
        <v>5205</v>
      </c>
      <c r="X1471">
        <v>8</v>
      </c>
      <c r="Y1471" t="s">
        <v>6994</v>
      </c>
      <c r="Z1471" t="s">
        <v>8859</v>
      </c>
      <c r="AA1471">
        <v>1.320924238920886</v>
      </c>
      <c r="AB1471" t="str">
        <f>HYPERLINK("Melting_Curves/meltCurve_Q24JP5_TMEM132A.pdf", "Melting_Curves/meltCurve_Q24JP5_TMEM132A.pdf")</f>
        <v>Melting_Curves/meltCurve_Q24JP5_TMEM132A.pdf</v>
      </c>
    </row>
    <row r="1472" spans="1:28" x14ac:dyDescent="0.25">
      <c r="A1472" t="s">
        <v>1476</v>
      </c>
      <c r="B1472">
        <v>1</v>
      </c>
      <c r="C1472">
        <v>1.00549967794679</v>
      </c>
      <c r="D1472">
        <v>1.20616360303225</v>
      </c>
      <c r="E1472">
        <v>1.41148491304563</v>
      </c>
      <c r="F1472">
        <v>0.97002427785760303</v>
      </c>
      <c r="G1472">
        <v>1.05296536689293</v>
      </c>
      <c r="H1472">
        <v>0.58569092800872002</v>
      </c>
      <c r="I1472">
        <v>1.0402814249615999</v>
      </c>
      <c r="J1472">
        <v>0.94297180795719204</v>
      </c>
      <c r="K1472">
        <v>0.87638111281771802</v>
      </c>
      <c r="L1472">
        <v>4590.1421656447901</v>
      </c>
      <c r="M1472">
        <v>78.674484776224901</v>
      </c>
      <c r="O1472">
        <v>58.305803545646597</v>
      </c>
      <c r="P1472">
        <v>-4.5629268953506399E-2</v>
      </c>
      <c r="Q1472">
        <v>0.86473628301086702</v>
      </c>
      <c r="R1472">
        <v>0.17566291634449199</v>
      </c>
      <c r="S1472" t="s">
        <v>3346</v>
      </c>
      <c r="T1472" t="s">
        <v>3746</v>
      </c>
      <c r="U1472" t="s">
        <v>3746</v>
      </c>
      <c r="V1472" t="s">
        <v>3746</v>
      </c>
      <c r="W1472" t="s">
        <v>5206</v>
      </c>
      <c r="X1472">
        <v>5</v>
      </c>
      <c r="Y1472" t="s">
        <v>6995</v>
      </c>
      <c r="Z1472" t="s">
        <v>8860</v>
      </c>
      <c r="AA1472">
        <v>0.94758325316823744</v>
      </c>
      <c r="AB1472" t="str">
        <f>HYPERLINK("Melting_Curves/meltCurve_Q2I0M4_LRRC26.pdf", "Melting_Curves/meltCurve_Q2I0M4_LRRC26.pdf")</f>
        <v>Melting_Curves/meltCurve_Q2I0M4_LRRC26.pdf</v>
      </c>
    </row>
    <row r="1473" spans="1:28" x14ac:dyDescent="0.25">
      <c r="A1473" t="s">
        <v>1477</v>
      </c>
      <c r="B1473">
        <v>1</v>
      </c>
      <c r="C1473">
        <v>0.98887563649708698</v>
      </c>
      <c r="D1473">
        <v>1.1591816138355</v>
      </c>
      <c r="E1473">
        <v>1.4603880911968401</v>
      </c>
      <c r="F1473">
        <v>1.1048901325748901</v>
      </c>
      <c r="G1473">
        <v>1.2065920455066701</v>
      </c>
      <c r="H1473">
        <v>0.72624891050048201</v>
      </c>
      <c r="I1473">
        <v>1.1197073260241299</v>
      </c>
      <c r="J1473">
        <v>1.1399605486490201</v>
      </c>
      <c r="K1473">
        <v>0.98580210101380805</v>
      </c>
      <c r="L1473">
        <v>11068.853285994101</v>
      </c>
      <c r="M1473">
        <v>250</v>
      </c>
      <c r="O1473">
        <v>44.272578553840098</v>
      </c>
      <c r="P1473">
        <v>0.15931274589445801</v>
      </c>
      <c r="Q1473">
        <v>1.1128509799900499</v>
      </c>
      <c r="R1473">
        <v>6.9760574016383498E-2</v>
      </c>
      <c r="S1473" t="s">
        <v>3347</v>
      </c>
      <c r="T1473" t="s">
        <v>3746</v>
      </c>
      <c r="U1473" t="s">
        <v>3746</v>
      </c>
      <c r="V1473" t="s">
        <v>3746</v>
      </c>
      <c r="W1473" t="s">
        <v>5207</v>
      </c>
      <c r="X1473">
        <v>9</v>
      </c>
      <c r="Y1473" t="s">
        <v>6366</v>
      </c>
      <c r="Z1473" t="s">
        <v>8861</v>
      </c>
      <c r="AA1473">
        <v>1.096759392396605</v>
      </c>
      <c r="AB1473" t="str">
        <f>HYPERLINK("Melting_Curves/meltCurve_Q31612_HLA_B.pdf", "Melting_Curves/meltCurve_Q31612_HLA_B.pdf")</f>
        <v>Melting_Curves/meltCurve_Q31612_HLA_B.pdf</v>
      </c>
    </row>
    <row r="1474" spans="1:28" x14ac:dyDescent="0.25">
      <c r="A1474" t="s">
        <v>1478</v>
      </c>
      <c r="B1474">
        <v>1</v>
      </c>
      <c r="C1474">
        <v>1.0894388152767001</v>
      </c>
      <c r="D1474">
        <v>1.3033255391010701</v>
      </c>
      <c r="E1474">
        <v>1.83700311769291</v>
      </c>
      <c r="F1474">
        <v>1.2623083917900799</v>
      </c>
      <c r="G1474">
        <v>1.4221713432060299</v>
      </c>
      <c r="H1474">
        <v>0.94636593920498802</v>
      </c>
      <c r="I1474">
        <v>1.31995323460639</v>
      </c>
      <c r="J1474">
        <v>1.22811119771369</v>
      </c>
      <c r="K1474">
        <v>1.2524032216159999</v>
      </c>
      <c r="L1474">
        <v>2787.7415414485999</v>
      </c>
      <c r="M1474">
        <v>64.011256046363201</v>
      </c>
      <c r="O1474">
        <v>43.508356006977401</v>
      </c>
      <c r="P1474">
        <v>0.118731045440589</v>
      </c>
      <c r="Q1474">
        <v>1.32280516098939</v>
      </c>
      <c r="R1474">
        <v>0.226107260358962</v>
      </c>
      <c r="S1474" t="s">
        <v>3348</v>
      </c>
      <c r="T1474" t="s">
        <v>3746</v>
      </c>
      <c r="U1474" t="s">
        <v>3746</v>
      </c>
      <c r="V1474" t="s">
        <v>3746</v>
      </c>
      <c r="W1474" t="s">
        <v>5208</v>
      </c>
      <c r="X1474">
        <v>2</v>
      </c>
      <c r="Y1474" t="s">
        <v>6996</v>
      </c>
      <c r="Z1474" t="s">
        <v>8862</v>
      </c>
      <c r="AA1474">
        <v>1.284199968519492</v>
      </c>
      <c r="AB1474" t="str">
        <f>HYPERLINK("Melting_Curves/meltCurve_Q32MZ4_3_LRRFIP1.pdf", "Melting_Curves/meltCurve_Q32MZ4_3_LRRFIP1.pdf")</f>
        <v>Melting_Curves/meltCurve_Q32MZ4_3_LRRFIP1.pdf</v>
      </c>
    </row>
    <row r="1475" spans="1:28" x14ac:dyDescent="0.25">
      <c r="A1475" t="s">
        <v>1479</v>
      </c>
      <c r="B1475">
        <v>1</v>
      </c>
      <c r="C1475">
        <v>1.1492856397955999</v>
      </c>
      <c r="D1475">
        <v>1.3420846803629201</v>
      </c>
      <c r="E1475">
        <v>1.97111273334029</v>
      </c>
      <c r="F1475">
        <v>1.3162217123787701</v>
      </c>
      <c r="G1475">
        <v>1.1073365314422801</v>
      </c>
      <c r="H1475">
        <v>1.08061320262801</v>
      </c>
      <c r="I1475">
        <v>1.39547919491084</v>
      </c>
      <c r="J1475">
        <v>1.5138179163625001</v>
      </c>
      <c r="K1475">
        <v>1.4616487642089899</v>
      </c>
      <c r="L1475">
        <v>2111.3271192593002</v>
      </c>
      <c r="M1475">
        <v>48.632164052949101</v>
      </c>
      <c r="O1475">
        <v>43.341001340358503</v>
      </c>
      <c r="P1475">
        <v>0.112790193644633</v>
      </c>
      <c r="Q1475">
        <v>1.4020741873995799</v>
      </c>
      <c r="R1475">
        <v>0.25061196398180502</v>
      </c>
      <c r="S1475" t="s">
        <v>3349</v>
      </c>
      <c r="T1475" t="s">
        <v>3746</v>
      </c>
      <c r="U1475" t="s">
        <v>3746</v>
      </c>
      <c r="V1475" t="s">
        <v>3746</v>
      </c>
      <c r="W1475" t="s">
        <v>5209</v>
      </c>
      <c r="X1475">
        <v>2</v>
      </c>
      <c r="Y1475" t="s">
        <v>6997</v>
      </c>
      <c r="Z1475" t="s">
        <v>8863</v>
      </c>
      <c r="AA1475">
        <v>1.355348141060416</v>
      </c>
      <c r="AB1475" t="str">
        <f>HYPERLINK("Melting_Curves/meltCurve_Q32P28_LEPRE1.pdf", "Melting_Curves/meltCurve_Q32P28_LEPRE1.pdf")</f>
        <v>Melting_Curves/meltCurve_Q32P28_LEPRE1.pdf</v>
      </c>
    </row>
    <row r="1476" spans="1:28" x14ac:dyDescent="0.25">
      <c r="A1476" t="s">
        <v>1480</v>
      </c>
      <c r="B1476">
        <v>1</v>
      </c>
      <c r="C1476">
        <v>1.01398985050062</v>
      </c>
      <c r="D1476">
        <v>1.7643670278425501</v>
      </c>
      <c r="E1476">
        <v>3.5395693320532202</v>
      </c>
      <c r="F1476">
        <v>2.9674255931970901</v>
      </c>
      <c r="G1476">
        <v>4.4506926347551801</v>
      </c>
      <c r="H1476">
        <v>2.81326292689617</v>
      </c>
      <c r="I1476">
        <v>4.5258537923467301</v>
      </c>
      <c r="J1476">
        <v>4.4539157865862</v>
      </c>
      <c r="K1476">
        <v>4.1599231929776401</v>
      </c>
      <c r="L1476">
        <v>10877.167360408601</v>
      </c>
      <c r="M1476">
        <v>250</v>
      </c>
      <c r="O1476">
        <v>43.505888903448799</v>
      </c>
      <c r="P1476">
        <v>0.71829362641600103</v>
      </c>
      <c r="Q1476">
        <v>1.5</v>
      </c>
      <c r="R1476">
        <v>-1.3676100013546499</v>
      </c>
      <c r="S1476" t="s">
        <v>3350</v>
      </c>
      <c r="T1476" t="s">
        <v>3746</v>
      </c>
      <c r="U1476" t="s">
        <v>3746</v>
      </c>
      <c r="V1476" t="s">
        <v>3746</v>
      </c>
      <c r="W1476" t="s">
        <v>5210</v>
      </c>
      <c r="X1476">
        <v>11</v>
      </c>
      <c r="Y1476" t="s">
        <v>6998</v>
      </c>
      <c r="Z1476" t="s">
        <v>8864</v>
      </c>
      <c r="AA1476">
        <v>1.441483997453169</v>
      </c>
      <c r="AB1476" t="str">
        <f>HYPERLINK("Melting_Curves/meltCurve_Q32Q12_NME1_NME2.pdf", "Melting_Curves/meltCurve_Q32Q12_NME1_NME2.pdf")</f>
        <v>Melting_Curves/meltCurve_Q32Q12_NME1_NME2.pdf</v>
      </c>
    </row>
    <row r="1477" spans="1:28" x14ac:dyDescent="0.25">
      <c r="A1477" t="s">
        <v>1481</v>
      </c>
      <c r="B1477">
        <v>1</v>
      </c>
      <c r="C1477">
        <v>1.0447656959284899</v>
      </c>
      <c r="D1477">
        <v>1.69243662266918</v>
      </c>
      <c r="E1477">
        <v>2.3027446050701901</v>
      </c>
      <c r="F1477">
        <v>1.8933584747538199</v>
      </c>
      <c r="G1477">
        <v>2.4127383197150598</v>
      </c>
      <c r="H1477">
        <v>1.8015922899643799</v>
      </c>
      <c r="I1477">
        <v>2.9090020252811</v>
      </c>
      <c r="J1477">
        <v>2.8562050422515499</v>
      </c>
      <c r="K1477">
        <v>2.7223269781409298</v>
      </c>
      <c r="L1477">
        <v>1.0000000000000001E-5</v>
      </c>
      <c r="M1477">
        <v>27.893113738438299</v>
      </c>
      <c r="Q1477">
        <v>1.5</v>
      </c>
      <c r="R1477">
        <v>-0.72822922409310498</v>
      </c>
      <c r="S1477" t="s">
        <v>3351</v>
      </c>
      <c r="T1477" t="s">
        <v>3746</v>
      </c>
      <c r="U1477" t="s">
        <v>3746</v>
      </c>
      <c r="V1477" t="s">
        <v>3746</v>
      </c>
      <c r="W1477" t="s">
        <v>5211</v>
      </c>
      <c r="X1477">
        <v>7</v>
      </c>
      <c r="Y1477" t="s">
        <v>6999</v>
      </c>
      <c r="Z1477" t="s">
        <v>8865</v>
      </c>
      <c r="AA1477">
        <v>1.499999999999615</v>
      </c>
      <c r="AB1477" t="str">
        <f>HYPERLINK("Melting_Curves/meltCurve_Q3LXA3_DAK.pdf", "Melting_Curves/meltCurve_Q3LXA3_DAK.pdf")</f>
        <v>Melting_Curves/meltCurve_Q3LXA3_DAK.pdf</v>
      </c>
    </row>
    <row r="1478" spans="1:28" x14ac:dyDescent="0.25">
      <c r="A1478" t="s">
        <v>1482</v>
      </c>
      <c r="B1478">
        <v>1</v>
      </c>
      <c r="C1478">
        <v>1.10625838550984</v>
      </c>
      <c r="D1478">
        <v>1.47543045617174</v>
      </c>
      <c r="E1478">
        <v>1.9103588998211101</v>
      </c>
      <c r="F1478">
        <v>1.2903622540250399</v>
      </c>
      <c r="G1478">
        <v>1.7385957066189599</v>
      </c>
      <c r="H1478">
        <v>1.11560822898032</v>
      </c>
      <c r="I1478">
        <v>1.62609011627907</v>
      </c>
      <c r="J1478">
        <v>1.7397137745975</v>
      </c>
      <c r="K1478">
        <v>1.6139311270125201</v>
      </c>
      <c r="L1478">
        <v>2906.2843827801398</v>
      </c>
      <c r="M1478">
        <v>66.427597525892594</v>
      </c>
      <c r="O1478">
        <v>43.711553528769798</v>
      </c>
      <c r="P1478">
        <v>0.189960096980617</v>
      </c>
      <c r="Q1478">
        <v>1.5</v>
      </c>
      <c r="R1478">
        <v>0.43697595368525799</v>
      </c>
      <c r="S1478" t="s">
        <v>3352</v>
      </c>
      <c r="T1478" t="s">
        <v>3746</v>
      </c>
      <c r="U1478" t="s">
        <v>3746</v>
      </c>
      <c r="V1478" t="s">
        <v>3746</v>
      </c>
      <c r="W1478" t="s">
        <v>5212</v>
      </c>
      <c r="X1478">
        <v>3</v>
      </c>
      <c r="Y1478" t="s">
        <v>7000</v>
      </c>
      <c r="Z1478" t="s">
        <v>8866</v>
      </c>
      <c r="AA1478">
        <v>1.4369177341804671</v>
      </c>
      <c r="AB1478" t="str">
        <f>HYPERLINK("Melting_Curves/meltCurve_Q3ZCW2_LGALSL.pdf", "Melting_Curves/meltCurve_Q3ZCW2_LGALSL.pdf")</f>
        <v>Melting_Curves/meltCurve_Q3ZCW2_LGALSL.pdf</v>
      </c>
    </row>
    <row r="1479" spans="1:28" x14ac:dyDescent="0.25">
      <c r="A1479" t="s">
        <v>1483</v>
      </c>
      <c r="B1479">
        <v>1</v>
      </c>
      <c r="C1479">
        <v>0.98893524396880095</v>
      </c>
      <c r="D1479">
        <v>1.41753582441502</v>
      </c>
      <c r="E1479">
        <v>2.2471431162706299</v>
      </c>
      <c r="F1479">
        <v>1.77618810085253</v>
      </c>
      <c r="G1479">
        <v>1.9509568293125299</v>
      </c>
      <c r="H1479">
        <v>1.43882641030292</v>
      </c>
      <c r="I1479">
        <v>2.13912570288409</v>
      </c>
      <c r="J1479">
        <v>2.2977507709051301</v>
      </c>
      <c r="K1479">
        <v>2.1308044621803002</v>
      </c>
      <c r="L1479">
        <v>11218.459874410601</v>
      </c>
      <c r="M1479">
        <v>245.50156471719501</v>
      </c>
      <c r="O1479">
        <v>45.693050639211002</v>
      </c>
      <c r="P1479">
        <v>0.67160531464301698</v>
      </c>
      <c r="Q1479">
        <v>1.5</v>
      </c>
      <c r="R1479">
        <v>-2.33098290560565E-2</v>
      </c>
      <c r="S1479" t="s">
        <v>3353</v>
      </c>
      <c r="T1479" t="s">
        <v>3746</v>
      </c>
      <c r="U1479" t="s">
        <v>3746</v>
      </c>
      <c r="V1479" t="s">
        <v>3746</v>
      </c>
      <c r="W1479" t="s">
        <v>5213</v>
      </c>
      <c r="X1479">
        <v>2</v>
      </c>
      <c r="Y1479" t="s">
        <v>7001</v>
      </c>
      <c r="Z1479" t="s">
        <v>8867</v>
      </c>
      <c r="AA1479">
        <v>1.4050237023473851</v>
      </c>
      <c r="AB1479" t="str">
        <f>HYPERLINK("Melting_Curves/meltCurve_Q53EL6_2_PDCD4.pdf", "Melting_Curves/meltCurve_Q53EL6_2_PDCD4.pdf")</f>
        <v>Melting_Curves/meltCurve_Q53EL6_2_PDCD4.pdf</v>
      </c>
    </row>
    <row r="1480" spans="1:28" x14ac:dyDescent="0.25">
      <c r="A1480" t="s">
        <v>1484</v>
      </c>
      <c r="B1480">
        <v>1</v>
      </c>
      <c r="C1480">
        <v>1.0887450300744199</v>
      </c>
      <c r="D1480">
        <v>1.57895809970435</v>
      </c>
      <c r="E1480">
        <v>2.13869915383831</v>
      </c>
      <c r="F1480">
        <v>1.9836884493832201</v>
      </c>
      <c r="G1480">
        <v>2.2818330105005602</v>
      </c>
      <c r="H1480">
        <v>1.11540422061372</v>
      </c>
      <c r="I1480">
        <v>2.0118768477928399</v>
      </c>
      <c r="J1480">
        <v>2.1901824854725298</v>
      </c>
      <c r="K1480">
        <v>1.9142114384748701</v>
      </c>
      <c r="L1480">
        <v>10790.784771905701</v>
      </c>
      <c r="M1480">
        <v>250</v>
      </c>
      <c r="O1480">
        <v>43.1603807522335</v>
      </c>
      <c r="P1480">
        <v>0.72404372374507697</v>
      </c>
      <c r="Q1480">
        <v>1.5</v>
      </c>
      <c r="R1480">
        <v>-5.0562277104229801E-2</v>
      </c>
      <c r="S1480" t="s">
        <v>3354</v>
      </c>
      <c r="T1480" t="s">
        <v>3746</v>
      </c>
      <c r="U1480" t="s">
        <v>3746</v>
      </c>
      <c r="V1480" t="s">
        <v>3746</v>
      </c>
      <c r="W1480" t="s">
        <v>5214</v>
      </c>
      <c r="X1480">
        <v>7</v>
      </c>
      <c r="Y1480" t="s">
        <v>7002</v>
      </c>
      <c r="Z1480" t="s">
        <v>8868</v>
      </c>
      <c r="AA1480">
        <v>1.447243139881254</v>
      </c>
      <c r="AB1480" t="str">
        <f>HYPERLINK("Melting_Curves/meltCurve_Q53FA7_TP53I3.pdf", "Melting_Curves/meltCurve_Q53FA7_TP53I3.pdf")</f>
        <v>Melting_Curves/meltCurve_Q53FA7_TP53I3.pdf</v>
      </c>
    </row>
    <row r="1481" spans="1:28" x14ac:dyDescent="0.25">
      <c r="A1481" t="s">
        <v>1485</v>
      </c>
      <c r="B1481">
        <v>1</v>
      </c>
      <c r="C1481">
        <v>1.54378437843784</v>
      </c>
      <c r="D1481">
        <v>2.01787678767877</v>
      </c>
      <c r="E1481">
        <v>3.25841584158416</v>
      </c>
      <c r="F1481">
        <v>2.7466996699670001</v>
      </c>
      <c r="G1481">
        <v>2.99339933993399</v>
      </c>
      <c r="H1481">
        <v>2.0722772277227701</v>
      </c>
      <c r="I1481">
        <v>2.7600110011001102</v>
      </c>
      <c r="J1481">
        <v>3.29504950495049</v>
      </c>
      <c r="K1481">
        <v>2.8460396039604001</v>
      </c>
      <c r="S1481" t="s">
        <v>3355</v>
      </c>
      <c r="T1481" t="s">
        <v>3746</v>
      </c>
      <c r="U1481" t="s">
        <v>3747</v>
      </c>
      <c r="V1481" t="s">
        <v>3746</v>
      </c>
      <c r="W1481" t="s">
        <v>5215</v>
      </c>
      <c r="X1481">
        <v>2</v>
      </c>
      <c r="Y1481" t="s">
        <v>7003</v>
      </c>
      <c r="Z1481" t="s">
        <v>8869</v>
      </c>
      <c r="AB1481" t="str">
        <f>HYPERLINK("Melting_Curves/meltCurve_Q53H82_LACTB2.pdf", "Melting_Curves/meltCurve_Q53H82_LACTB2.pdf")</f>
        <v>Melting_Curves/meltCurve_Q53H82_LACTB2.pdf</v>
      </c>
    </row>
    <row r="1482" spans="1:28" x14ac:dyDescent="0.25">
      <c r="A1482" t="s">
        <v>1486</v>
      </c>
      <c r="B1482">
        <v>1</v>
      </c>
      <c r="C1482">
        <v>1.06816456382633</v>
      </c>
      <c r="D1482">
        <v>1.2641806153067501</v>
      </c>
      <c r="E1482">
        <v>1.43705939770796</v>
      </c>
      <c r="F1482">
        <v>0.96901775062362205</v>
      </c>
      <c r="G1482">
        <v>0.75566682332525903</v>
      </c>
      <c r="H1482">
        <v>0.70214381258812097</v>
      </c>
      <c r="I1482">
        <v>0.92440620368027204</v>
      </c>
      <c r="J1482">
        <v>1.0624163985394599</v>
      </c>
      <c r="K1482">
        <v>0.91272911319185901</v>
      </c>
      <c r="L1482">
        <v>13310.7862441009</v>
      </c>
      <c r="M1482">
        <v>250</v>
      </c>
      <c r="O1482">
        <v>53.239737783059397</v>
      </c>
      <c r="P1482">
        <v>-0.150882988303495</v>
      </c>
      <c r="Q1482">
        <v>0.87147246845509396</v>
      </c>
      <c r="R1482">
        <v>0.19167362168813801</v>
      </c>
      <c r="S1482" t="s">
        <v>3356</v>
      </c>
      <c r="T1482" t="s">
        <v>3746</v>
      </c>
      <c r="U1482" t="s">
        <v>3746</v>
      </c>
      <c r="V1482" t="s">
        <v>3746</v>
      </c>
      <c r="W1482" t="s">
        <v>5216</v>
      </c>
      <c r="X1482">
        <v>3</v>
      </c>
      <c r="Y1482" t="s">
        <v>7004</v>
      </c>
      <c r="Z1482" t="s">
        <v>8870</v>
      </c>
      <c r="AA1482">
        <v>0.9282214359724148</v>
      </c>
      <c r="AB1482" t="str">
        <f>HYPERLINK("Melting_Curves/meltCurve_Q53TN4_3_CYBRD1.pdf", "Melting_Curves/meltCurve_Q53TN4_3_CYBRD1.pdf")</f>
        <v>Melting_Curves/meltCurve_Q53TN4_3_CYBRD1.pdf</v>
      </c>
    </row>
    <row r="1483" spans="1:28" x14ac:dyDescent="0.25">
      <c r="A1483" t="s">
        <v>1487</v>
      </c>
      <c r="B1483">
        <v>1</v>
      </c>
      <c r="C1483">
        <v>1.0175095236431</v>
      </c>
      <c r="D1483">
        <v>1.26243315975256</v>
      </c>
      <c r="E1483">
        <v>1.63883549435571</v>
      </c>
      <c r="F1483">
        <v>1.5748785517072701</v>
      </c>
      <c r="G1483">
        <v>1.5431796735749499</v>
      </c>
      <c r="H1483">
        <v>3.44962080173348</v>
      </c>
      <c r="I1483">
        <v>9.6001817355747399</v>
      </c>
      <c r="J1483">
        <v>1.1945269632684401</v>
      </c>
      <c r="K1483">
        <v>6.52116170971237</v>
      </c>
      <c r="S1483" t="s">
        <v>3357</v>
      </c>
      <c r="T1483" t="s">
        <v>3746</v>
      </c>
      <c r="U1483" t="s">
        <v>3747</v>
      </c>
      <c r="V1483" t="s">
        <v>3746</v>
      </c>
      <c r="W1483" t="s">
        <v>5217</v>
      </c>
      <c r="X1483">
        <v>1</v>
      </c>
      <c r="Y1483" t="s">
        <v>7005</v>
      </c>
      <c r="Z1483" t="s">
        <v>8871</v>
      </c>
      <c r="AB1483" t="str">
        <f>HYPERLINK("Melting_Curves/meltCurve_Q5FBY0_ACPP.pdf", "Melting_Curves/meltCurve_Q5FBY0_ACPP.pdf")</f>
        <v>Melting_Curves/meltCurve_Q5FBY0_ACPP.pdf</v>
      </c>
    </row>
    <row r="1484" spans="1:28" x14ac:dyDescent="0.25">
      <c r="A1484" t="s">
        <v>1488</v>
      </c>
      <c r="B1484">
        <v>1</v>
      </c>
      <c r="C1484">
        <v>1.3034984550981801</v>
      </c>
      <c r="D1484">
        <v>2.2124987541114298</v>
      </c>
      <c r="E1484">
        <v>3.7973686833449598</v>
      </c>
      <c r="F1484">
        <v>2.7471344562942299</v>
      </c>
      <c r="G1484">
        <v>2.6562344263929001</v>
      </c>
      <c r="H1484">
        <v>2.2891458187979699</v>
      </c>
      <c r="I1484">
        <v>2.8080334894846999</v>
      </c>
      <c r="J1484">
        <v>3.1497059702980201</v>
      </c>
      <c r="K1484">
        <v>2.8899631216984001</v>
      </c>
      <c r="S1484" t="s">
        <v>3358</v>
      </c>
      <c r="T1484" t="s">
        <v>3746</v>
      </c>
      <c r="U1484" t="s">
        <v>3747</v>
      </c>
      <c r="V1484" t="s">
        <v>3746</v>
      </c>
      <c r="W1484" t="s">
        <v>5218</v>
      </c>
      <c r="X1484">
        <v>1</v>
      </c>
      <c r="Y1484" t="s">
        <v>7006</v>
      </c>
      <c r="Z1484" t="s">
        <v>8872</v>
      </c>
      <c r="AB1484" t="str">
        <f>HYPERLINK("Melting_Curves/meltCurve_Q5H8X8_UTS2.pdf", "Melting_Curves/meltCurve_Q5H8X8_UTS2.pdf")</f>
        <v>Melting_Curves/meltCurve_Q5H8X8_UTS2.pdf</v>
      </c>
    </row>
    <row r="1485" spans="1:28" x14ac:dyDescent="0.25">
      <c r="A1485" t="s">
        <v>1489</v>
      </c>
      <c r="B1485">
        <v>1</v>
      </c>
      <c r="C1485">
        <v>1.1473099335953401</v>
      </c>
      <c r="D1485">
        <v>1.6731716131363801</v>
      </c>
      <c r="E1485">
        <v>2.0631973618828199</v>
      </c>
      <c r="F1485">
        <v>1.5234223246148999</v>
      </c>
      <c r="G1485">
        <v>1.7531734200659499</v>
      </c>
      <c r="H1485">
        <v>0.99516646338708903</v>
      </c>
      <c r="I1485">
        <v>1.56868591046664</v>
      </c>
      <c r="J1485">
        <v>1.42837782897412</v>
      </c>
      <c r="K1485">
        <v>1.30067308126666</v>
      </c>
      <c r="L1485">
        <v>10762.453849265199</v>
      </c>
      <c r="M1485">
        <v>250</v>
      </c>
      <c r="O1485">
        <v>43.047060598344999</v>
      </c>
      <c r="P1485">
        <v>0.72594968570916996</v>
      </c>
      <c r="Q1485">
        <v>1.5</v>
      </c>
      <c r="R1485">
        <v>0.324759824487102</v>
      </c>
      <c r="S1485" t="s">
        <v>3359</v>
      </c>
      <c r="T1485" t="s">
        <v>3746</v>
      </c>
      <c r="U1485" t="s">
        <v>3746</v>
      </c>
      <c r="V1485" t="s">
        <v>3746</v>
      </c>
      <c r="W1485" t="s">
        <v>5219</v>
      </c>
      <c r="X1485">
        <v>7</v>
      </c>
      <c r="Y1485" t="s">
        <v>7007</v>
      </c>
      <c r="Z1485" t="s">
        <v>8873</v>
      </c>
      <c r="AA1485">
        <v>1.449131967491351</v>
      </c>
      <c r="AB1485" t="str">
        <f>HYPERLINK("Melting_Curves/meltCurve_Q5H9A7_TIMP1.pdf", "Melting_Curves/meltCurve_Q5H9A7_TIMP1.pdf")</f>
        <v>Melting_Curves/meltCurve_Q5H9A7_TIMP1.pdf</v>
      </c>
    </row>
    <row r="1486" spans="1:28" x14ac:dyDescent="0.25">
      <c r="A1486" t="s">
        <v>1490</v>
      </c>
      <c r="B1486">
        <v>1</v>
      </c>
      <c r="C1486">
        <v>1.0641667425138801</v>
      </c>
      <c r="D1486">
        <v>1.57977609902612</v>
      </c>
      <c r="E1486">
        <v>1.99645035041413</v>
      </c>
      <c r="F1486">
        <v>1.33394011104032</v>
      </c>
      <c r="G1486">
        <v>1.62965322654046</v>
      </c>
      <c r="H1486">
        <v>0.98516428506416698</v>
      </c>
      <c r="I1486">
        <v>1.6535906070811</v>
      </c>
      <c r="J1486">
        <v>1.6304723764448901</v>
      </c>
      <c r="K1486">
        <v>1.5828706653317599</v>
      </c>
      <c r="L1486">
        <v>10807.186591964901</v>
      </c>
      <c r="M1486">
        <v>250</v>
      </c>
      <c r="O1486">
        <v>43.225993033885601</v>
      </c>
      <c r="P1486">
        <v>0.72294485820035403</v>
      </c>
      <c r="Q1486">
        <v>1.5</v>
      </c>
      <c r="R1486">
        <v>0.402274161632108</v>
      </c>
      <c r="S1486" t="s">
        <v>3360</v>
      </c>
      <c r="T1486" t="s">
        <v>3746</v>
      </c>
      <c r="U1486" t="s">
        <v>3746</v>
      </c>
      <c r="V1486" t="s">
        <v>3746</v>
      </c>
      <c r="W1486" t="s">
        <v>5220</v>
      </c>
      <c r="X1486">
        <v>11</v>
      </c>
      <c r="Y1486" t="s">
        <v>7008</v>
      </c>
      <c r="Z1486" t="s">
        <v>8874</v>
      </c>
      <c r="AA1486">
        <v>1.4461496276429111</v>
      </c>
      <c r="AB1486" t="str">
        <f>HYPERLINK("Melting_Curves/meltCurve_Q5HY54_FLNA.pdf", "Melting_Curves/meltCurve_Q5HY54_FLNA.pdf")</f>
        <v>Melting_Curves/meltCurve_Q5HY54_FLNA.pdf</v>
      </c>
    </row>
    <row r="1487" spans="1:28" x14ac:dyDescent="0.25">
      <c r="A1487" t="s">
        <v>1491</v>
      </c>
      <c r="B1487">
        <v>1</v>
      </c>
      <c r="C1487">
        <v>0.92235075692659196</v>
      </c>
      <c r="D1487">
        <v>1.2137817766352501</v>
      </c>
      <c r="E1487">
        <v>1.4110825478434701</v>
      </c>
      <c r="F1487">
        <v>1.1785489860039999</v>
      </c>
      <c r="G1487">
        <v>1.4592973436161101</v>
      </c>
      <c r="H1487">
        <v>0.91233933161953695</v>
      </c>
      <c r="I1487">
        <v>1.46043987432162</v>
      </c>
      <c r="J1487">
        <v>1.47315052842045</v>
      </c>
      <c r="K1487">
        <v>1.3191373893173399</v>
      </c>
      <c r="L1487">
        <v>11466.1872425527</v>
      </c>
      <c r="M1487">
        <v>250</v>
      </c>
      <c r="O1487">
        <v>45.861814110008503</v>
      </c>
      <c r="P1487">
        <v>0.43103008396002301</v>
      </c>
      <c r="Q1487">
        <v>1.31628514377363</v>
      </c>
      <c r="R1487">
        <v>0.42405501848121802</v>
      </c>
      <c r="S1487" t="s">
        <v>3361</v>
      </c>
      <c r="T1487" t="s">
        <v>3746</v>
      </c>
      <c r="U1487" t="s">
        <v>3746</v>
      </c>
      <c r="V1487" t="s">
        <v>3746</v>
      </c>
      <c r="W1487" t="s">
        <v>5221</v>
      </c>
      <c r="X1487">
        <v>7</v>
      </c>
      <c r="Y1487" t="s">
        <v>7009</v>
      </c>
      <c r="Z1487" t="s">
        <v>8875</v>
      </c>
      <c r="AA1487">
        <v>1.2544285863336291</v>
      </c>
      <c r="AB1487" t="str">
        <f>HYPERLINK("Melting_Curves/meltCurve_Q5JP53_TUBB.pdf", "Melting_Curves/meltCurve_Q5JP53_TUBB.pdf")</f>
        <v>Melting_Curves/meltCurve_Q5JP53_TUBB.pdf</v>
      </c>
    </row>
    <row r="1488" spans="1:28" x14ac:dyDescent="0.25">
      <c r="A1488" t="s">
        <v>1492</v>
      </c>
      <c r="B1488">
        <v>1</v>
      </c>
      <c r="C1488">
        <v>0.96839498736803398</v>
      </c>
      <c r="D1488">
        <v>1.4278472117653001</v>
      </c>
      <c r="E1488">
        <v>1.83372651374458</v>
      </c>
      <c r="F1488">
        <v>1.43905703625625</v>
      </c>
      <c r="G1488">
        <v>2.2230587762887102</v>
      </c>
      <c r="H1488">
        <v>1.5806689086315699</v>
      </c>
      <c r="I1488">
        <v>2.20264685706637</v>
      </c>
      <c r="J1488">
        <v>2.2111797085445599</v>
      </c>
      <c r="K1488">
        <v>1.77232344526427</v>
      </c>
      <c r="L1488">
        <v>11418.1209287981</v>
      </c>
      <c r="M1488">
        <v>250</v>
      </c>
      <c r="O1488">
        <v>45.669565944830801</v>
      </c>
      <c r="P1488">
        <v>0.684263202029186</v>
      </c>
      <c r="Q1488">
        <v>1.5</v>
      </c>
      <c r="R1488">
        <v>0.132083945054629</v>
      </c>
      <c r="S1488" t="s">
        <v>3362</v>
      </c>
      <c r="T1488" t="s">
        <v>3746</v>
      </c>
      <c r="U1488" t="s">
        <v>3746</v>
      </c>
      <c r="V1488" t="s">
        <v>3746</v>
      </c>
      <c r="W1488" t="s">
        <v>5222</v>
      </c>
      <c r="X1488">
        <v>2</v>
      </c>
      <c r="Y1488" t="s">
        <v>7010</v>
      </c>
      <c r="Z1488" t="s">
        <v>8876</v>
      </c>
      <c r="AA1488">
        <v>1.405418527497744</v>
      </c>
      <c r="AB1488" t="str">
        <f>HYPERLINK("Melting_Curves/meltCurve_Q5JR95_RPS8.pdf", "Melting_Curves/meltCurve_Q5JR95_RPS8.pdf")</f>
        <v>Melting_Curves/meltCurve_Q5JR95_RPS8.pdf</v>
      </c>
    </row>
    <row r="1489" spans="1:28" x14ac:dyDescent="0.25">
      <c r="A1489" t="s">
        <v>1493</v>
      </c>
      <c r="B1489">
        <v>1</v>
      </c>
      <c r="C1489">
        <v>1.0631868131868101</v>
      </c>
      <c r="D1489">
        <v>1.39674118984464</v>
      </c>
      <c r="E1489">
        <v>1.8757104964001501</v>
      </c>
      <c r="F1489">
        <v>1.4619647593785501</v>
      </c>
      <c r="G1489">
        <v>1.4397025388404701</v>
      </c>
      <c r="H1489">
        <v>0.91876657824933705</v>
      </c>
      <c r="I1489">
        <v>1.68652898825313</v>
      </c>
      <c r="J1489">
        <v>1.1887078438802601</v>
      </c>
      <c r="K1489">
        <v>1.0390773020083399</v>
      </c>
      <c r="L1489">
        <v>10793.605257335101</v>
      </c>
      <c r="M1489">
        <v>250</v>
      </c>
      <c r="O1489">
        <v>43.171655688399603</v>
      </c>
      <c r="P1489">
        <v>0.54419378865462398</v>
      </c>
      <c r="Q1489">
        <v>1.3758999709811399</v>
      </c>
      <c r="R1489">
        <v>0.21124408824645699</v>
      </c>
      <c r="S1489" t="s">
        <v>3363</v>
      </c>
      <c r="T1489" t="s">
        <v>3746</v>
      </c>
      <c r="U1489" t="s">
        <v>3746</v>
      </c>
      <c r="V1489" t="s">
        <v>3746</v>
      </c>
      <c r="W1489" t="s">
        <v>5223</v>
      </c>
      <c r="X1489">
        <v>1</v>
      </c>
      <c r="Y1489" t="s">
        <v>7011</v>
      </c>
      <c r="Z1489" t="s">
        <v>8877</v>
      </c>
      <c r="AA1489">
        <v>1.336095996444592</v>
      </c>
      <c r="AB1489" t="str">
        <f>HYPERLINK("Melting_Curves/meltCurve_Q5JU69_TOR2A.pdf", "Melting_Curves/meltCurve_Q5JU69_TOR2A.pdf")</f>
        <v>Melting_Curves/meltCurve_Q5JU69_TOR2A.pdf</v>
      </c>
    </row>
    <row r="1490" spans="1:28" x14ac:dyDescent="0.25">
      <c r="A1490" t="s">
        <v>1494</v>
      </c>
      <c r="B1490">
        <v>1</v>
      </c>
      <c r="C1490">
        <v>0.93550702102719896</v>
      </c>
      <c r="D1490">
        <v>1.35497452335957</v>
      </c>
      <c r="E1490">
        <v>1.80001435303686</v>
      </c>
      <c r="F1490">
        <v>1.42006554553501</v>
      </c>
      <c r="G1490">
        <v>1.82216587326268</v>
      </c>
      <c r="H1490">
        <v>1.1944118843145199</v>
      </c>
      <c r="I1490">
        <v>2.1924263808817499</v>
      </c>
      <c r="J1490">
        <v>2.1344879554099001</v>
      </c>
      <c r="K1490">
        <v>2.0191134607564001</v>
      </c>
      <c r="L1490">
        <v>11458.823721733601</v>
      </c>
      <c r="M1490">
        <v>250</v>
      </c>
      <c r="O1490">
        <v>45.832361568493297</v>
      </c>
      <c r="P1490">
        <v>0.68183263649599002</v>
      </c>
      <c r="Q1490">
        <v>1.5</v>
      </c>
      <c r="R1490">
        <v>0.26003427287495001</v>
      </c>
      <c r="S1490" t="s">
        <v>3364</v>
      </c>
      <c r="T1490" t="s">
        <v>3746</v>
      </c>
      <c r="U1490" t="s">
        <v>3746</v>
      </c>
      <c r="V1490" t="s">
        <v>3746</v>
      </c>
      <c r="W1490" t="s">
        <v>5224</v>
      </c>
      <c r="X1490">
        <v>2</v>
      </c>
      <c r="Y1490" t="s">
        <v>7012</v>
      </c>
      <c r="Z1490" t="s">
        <v>8878</v>
      </c>
      <c r="AA1490">
        <v>1.4027048651031739</v>
      </c>
      <c r="AB1490" t="str">
        <f>HYPERLINK("Melting_Curves/meltCurve_Q5QPP3_GALE.pdf", "Melting_Curves/meltCurve_Q5QPP3_GALE.pdf")</f>
        <v>Melting_Curves/meltCurve_Q5QPP3_GALE.pdf</v>
      </c>
    </row>
    <row r="1491" spans="1:28" x14ac:dyDescent="0.25">
      <c r="A1491" t="s">
        <v>1495</v>
      </c>
      <c r="B1491">
        <v>1</v>
      </c>
      <c r="C1491">
        <v>1.1818031567639</v>
      </c>
      <c r="D1491">
        <v>1.3193124535162399</v>
      </c>
      <c r="E1491">
        <v>2.1835385505330098</v>
      </c>
      <c r="F1491">
        <v>1.86488719940501</v>
      </c>
      <c r="G1491">
        <v>2.33022064292207</v>
      </c>
      <c r="H1491">
        <v>1.46508553012148</v>
      </c>
      <c r="I1491">
        <v>2.0296669696719301</v>
      </c>
      <c r="J1491">
        <v>1.6943227832410499</v>
      </c>
      <c r="K1491">
        <v>1.68093545987935</v>
      </c>
      <c r="L1491">
        <v>1725.69228925943</v>
      </c>
      <c r="M1491">
        <v>39.331241564939901</v>
      </c>
      <c r="O1491">
        <v>43.762919366403601</v>
      </c>
      <c r="P1491">
        <v>0.112342097110224</v>
      </c>
      <c r="Q1491">
        <v>1.5</v>
      </c>
      <c r="R1491">
        <v>3.3716351572518503E-2</v>
      </c>
      <c r="S1491" t="s">
        <v>3365</v>
      </c>
      <c r="T1491" t="s">
        <v>3746</v>
      </c>
      <c r="U1491" t="s">
        <v>3746</v>
      </c>
      <c r="V1491" t="s">
        <v>3746</v>
      </c>
      <c r="W1491" t="s">
        <v>5225</v>
      </c>
      <c r="X1491">
        <v>1</v>
      </c>
      <c r="Y1491" t="s">
        <v>7013</v>
      </c>
      <c r="Z1491" t="s">
        <v>8879</v>
      </c>
      <c r="AA1491">
        <v>1.4335094985218431</v>
      </c>
      <c r="AB1491" t="str">
        <f>HYPERLINK("Melting_Curves/meltCurve_Q5QPQ1_LYPLA2.pdf", "Melting_Curves/meltCurve_Q5QPQ1_LYPLA2.pdf")</f>
        <v>Melting_Curves/meltCurve_Q5QPQ1_LYPLA2.pdf</v>
      </c>
    </row>
    <row r="1492" spans="1:28" x14ac:dyDescent="0.25">
      <c r="A1492" t="s">
        <v>1496</v>
      </c>
      <c r="B1492">
        <v>1</v>
      </c>
      <c r="C1492">
        <v>0.96453032903081404</v>
      </c>
      <c r="D1492">
        <v>1.3981944340819199</v>
      </c>
      <c r="E1492">
        <v>1.5793479071849601</v>
      </c>
      <c r="F1492">
        <v>1.2751175110049999</v>
      </c>
      <c r="G1492">
        <v>1.48575692009252</v>
      </c>
      <c r="H1492">
        <v>1.29830634932478</v>
      </c>
      <c r="I1492">
        <v>2.0887860926658202</v>
      </c>
      <c r="J1492">
        <v>2.3081399686637298</v>
      </c>
      <c r="K1492">
        <v>2.17891516824591</v>
      </c>
      <c r="L1492">
        <v>11437.2617287673</v>
      </c>
      <c r="M1492">
        <v>250</v>
      </c>
      <c r="O1492">
        <v>45.746119300395698</v>
      </c>
      <c r="P1492">
        <v>0.68311805523193503</v>
      </c>
      <c r="Q1492">
        <v>1.5</v>
      </c>
      <c r="R1492">
        <v>0.247333306871894</v>
      </c>
      <c r="S1492" t="s">
        <v>3366</v>
      </c>
      <c r="T1492" t="s">
        <v>3746</v>
      </c>
      <c r="U1492" t="s">
        <v>3746</v>
      </c>
      <c r="V1492" t="s">
        <v>3746</v>
      </c>
      <c r="W1492" t="s">
        <v>5226</v>
      </c>
      <c r="X1492">
        <v>3</v>
      </c>
      <c r="Y1492" t="s">
        <v>7014</v>
      </c>
      <c r="Z1492" t="s">
        <v>8880</v>
      </c>
      <c r="AA1492">
        <v>1.4041424069828481</v>
      </c>
      <c r="AB1492" t="str">
        <f>HYPERLINK("Melting_Curves/meltCurve_Q5R3E4_MAPK13.pdf", "Melting_Curves/meltCurve_Q5R3E4_MAPK13.pdf")</f>
        <v>Melting_Curves/meltCurve_Q5R3E4_MAPK13.pdf</v>
      </c>
    </row>
    <row r="1493" spans="1:28" x14ac:dyDescent="0.25">
      <c r="A1493" t="s">
        <v>1497</v>
      </c>
      <c r="B1493">
        <v>1</v>
      </c>
      <c r="C1493">
        <v>1.0741402731107501</v>
      </c>
      <c r="D1493">
        <v>1.5761063844998899</v>
      </c>
      <c r="E1493">
        <v>1.74554943876457</v>
      </c>
      <c r="F1493">
        <v>1.7100879388003101</v>
      </c>
      <c r="G1493">
        <v>1.4492743261600101</v>
      </c>
      <c r="H1493">
        <v>1.05776792736112</v>
      </c>
      <c r="I1493">
        <v>1.5199113462500899</v>
      </c>
      <c r="J1493">
        <v>1.59569600343176</v>
      </c>
      <c r="K1493">
        <v>1.4476299420890799</v>
      </c>
      <c r="L1493">
        <v>10799.9955895244</v>
      </c>
      <c r="M1493">
        <v>250</v>
      </c>
      <c r="O1493">
        <v>43.197217860261503</v>
      </c>
      <c r="P1493">
        <v>0.72342622036924398</v>
      </c>
      <c r="Q1493">
        <v>1.5</v>
      </c>
      <c r="R1493">
        <v>0.53129660939655898</v>
      </c>
      <c r="S1493" t="s">
        <v>3367</v>
      </c>
      <c r="T1493" t="s">
        <v>3746</v>
      </c>
      <c r="U1493" t="s">
        <v>3746</v>
      </c>
      <c r="V1493" t="s">
        <v>3746</v>
      </c>
      <c r="W1493" t="s">
        <v>5227</v>
      </c>
      <c r="X1493">
        <v>2</v>
      </c>
      <c r="Y1493" t="s">
        <v>7015</v>
      </c>
      <c r="Z1493" t="s">
        <v>8881</v>
      </c>
      <c r="AA1493">
        <v>1.4466290530449719</v>
      </c>
      <c r="AB1493" t="str">
        <f>HYPERLINK("Melting_Curves/meltCurve_Q5RJ85_HLA_G.pdf", "Melting_Curves/meltCurve_Q5RJ85_HLA_G.pdf")</f>
        <v>Melting_Curves/meltCurve_Q5RJ85_HLA_G.pdf</v>
      </c>
    </row>
    <row r="1494" spans="1:28" x14ac:dyDescent="0.25">
      <c r="A1494" t="s">
        <v>1498</v>
      </c>
      <c r="B1494">
        <v>1</v>
      </c>
      <c r="C1494">
        <v>0.86372887926856801</v>
      </c>
      <c r="D1494">
        <v>1.0753723387070699</v>
      </c>
      <c r="E1494">
        <v>1.1550738216004901</v>
      </c>
      <c r="F1494">
        <v>0.77549833618712205</v>
      </c>
      <c r="G1494">
        <v>1.05482505734501</v>
      </c>
      <c r="H1494">
        <v>0.41992698607566298</v>
      </c>
      <c r="I1494">
        <v>0.84654153070784699</v>
      </c>
      <c r="J1494">
        <v>0.93015216618744501</v>
      </c>
      <c r="K1494">
        <v>0.58940975026653297</v>
      </c>
      <c r="L1494">
        <v>14687.4086940495</v>
      </c>
      <c r="M1494">
        <v>250</v>
      </c>
      <c r="O1494">
        <v>58.745898962313497</v>
      </c>
      <c r="P1494">
        <v>-0.32288082982704802</v>
      </c>
      <c r="Q1494">
        <v>0.69651332869946903</v>
      </c>
      <c r="R1494">
        <v>0.43103499636699799</v>
      </c>
      <c r="S1494" t="s">
        <v>3368</v>
      </c>
      <c r="T1494" t="s">
        <v>3746</v>
      </c>
      <c r="U1494" t="s">
        <v>3746</v>
      </c>
      <c r="V1494" t="s">
        <v>3746</v>
      </c>
      <c r="W1494" t="s">
        <v>5228</v>
      </c>
      <c r="X1494">
        <v>2</v>
      </c>
      <c r="Y1494" t="s">
        <v>7016</v>
      </c>
      <c r="Z1494" t="s">
        <v>8882</v>
      </c>
      <c r="AA1494">
        <v>0.88622009447768835</v>
      </c>
      <c r="AB1494" t="str">
        <f>HYPERLINK("Melting_Curves/meltCurve_Q5SPY9_NPDC1.pdf", "Melting_Curves/meltCurve_Q5SPY9_NPDC1.pdf")</f>
        <v>Melting_Curves/meltCurve_Q5SPY9_NPDC1.pdf</v>
      </c>
    </row>
    <row r="1495" spans="1:28" x14ac:dyDescent="0.25">
      <c r="A1495" t="s">
        <v>1499</v>
      </c>
      <c r="B1495">
        <v>1</v>
      </c>
      <c r="C1495">
        <v>1.0002705383713599</v>
      </c>
      <c r="D1495">
        <v>1.6906071654020101</v>
      </c>
      <c r="E1495">
        <v>2.0129343107068798</v>
      </c>
      <c r="F1495">
        <v>1.49324298210582</v>
      </c>
      <c r="G1495">
        <v>1.4530487097896201</v>
      </c>
      <c r="H1495">
        <v>1.36441518622058</v>
      </c>
      <c r="I1495">
        <v>1.4365587519163101</v>
      </c>
      <c r="J1495">
        <v>1.78400731741881</v>
      </c>
      <c r="K1495">
        <v>1.54670651739819</v>
      </c>
      <c r="L1495">
        <v>10982.825851445999</v>
      </c>
      <c r="M1495">
        <v>250</v>
      </c>
      <c r="O1495">
        <v>43.928491820313603</v>
      </c>
      <c r="P1495">
        <v>0.71138339940994699</v>
      </c>
      <c r="Q1495">
        <v>1.5</v>
      </c>
      <c r="R1495">
        <v>0.54880181206087697</v>
      </c>
      <c r="S1495" t="s">
        <v>3369</v>
      </c>
      <c r="T1495" t="s">
        <v>3746</v>
      </c>
      <c r="U1495" t="s">
        <v>3746</v>
      </c>
      <c r="V1495" t="s">
        <v>3746</v>
      </c>
      <c r="W1495" t="s">
        <v>5229</v>
      </c>
      <c r="X1495">
        <v>1</v>
      </c>
      <c r="Y1495" t="s">
        <v>7017</v>
      </c>
      <c r="Z1495" t="s">
        <v>8883</v>
      </c>
      <c r="AA1495">
        <v>1.434439727193338</v>
      </c>
      <c r="AB1495" t="str">
        <f>HYPERLINK("Melting_Curves/meltCurve_Q5SRP5_APOM.pdf", "Melting_Curves/meltCurve_Q5SRP5_APOM.pdf")</f>
        <v>Melting_Curves/meltCurve_Q5SRP5_APOM.pdf</v>
      </c>
    </row>
    <row r="1496" spans="1:28" x14ac:dyDescent="0.25">
      <c r="A1496" t="s">
        <v>1500</v>
      </c>
      <c r="B1496">
        <v>1</v>
      </c>
      <c r="C1496">
        <v>0.92428586598704499</v>
      </c>
      <c r="D1496">
        <v>1.3337580970585099</v>
      </c>
      <c r="E1496">
        <v>1.8021928427312299</v>
      </c>
      <c r="F1496">
        <v>1.41831262610173</v>
      </c>
      <c r="G1496">
        <v>1.78998088563237</v>
      </c>
      <c r="H1496">
        <v>1.54348518636508</v>
      </c>
      <c r="I1496">
        <v>2.1589943718806399</v>
      </c>
      <c r="J1496">
        <v>2.6546405436975702</v>
      </c>
      <c r="K1496">
        <v>2.2511150047785899</v>
      </c>
      <c r="L1496">
        <v>11467.939269140499</v>
      </c>
      <c r="M1496">
        <v>250</v>
      </c>
      <c r="O1496">
        <v>45.868821661779698</v>
      </c>
      <c r="P1496">
        <v>0.68129066661158599</v>
      </c>
      <c r="Q1496">
        <v>1.5</v>
      </c>
      <c r="R1496">
        <v>9.0578194810493701E-2</v>
      </c>
      <c r="S1496" t="s">
        <v>3370</v>
      </c>
      <c r="T1496" t="s">
        <v>3746</v>
      </c>
      <c r="U1496" t="s">
        <v>3746</v>
      </c>
      <c r="V1496" t="s">
        <v>3746</v>
      </c>
      <c r="W1496" t="s">
        <v>5230</v>
      </c>
      <c r="X1496">
        <v>1</v>
      </c>
      <c r="Y1496" t="s">
        <v>7018</v>
      </c>
      <c r="Z1496" t="s">
        <v>8884</v>
      </c>
      <c r="AA1496">
        <v>1.402097129947427</v>
      </c>
      <c r="AB1496" t="str">
        <f>HYPERLINK("Melting_Curves/meltCurve_Q5SRQ3_CSNK2B_LY6G5B_1181.pdf", "Melting_Curves/meltCurve_Q5SRQ3_CSNK2B_LY6G5B_1181.pdf")</f>
        <v>Melting_Curves/meltCurve_Q5SRQ3_CSNK2B_LY6G5B_1181.pdf</v>
      </c>
    </row>
    <row r="1497" spans="1:28" x14ac:dyDescent="0.25">
      <c r="A1497" t="s">
        <v>1501</v>
      </c>
      <c r="B1497">
        <v>1</v>
      </c>
      <c r="C1497">
        <v>1.31329777298105</v>
      </c>
      <c r="D1497">
        <v>1.5873892198169399</v>
      </c>
      <c r="E1497">
        <v>2.1288474709947902</v>
      </c>
      <c r="F1497">
        <v>1.5098482804425</v>
      </c>
      <c r="G1497">
        <v>1.07988626221955</v>
      </c>
      <c r="H1497">
        <v>0.80789107739565402</v>
      </c>
      <c r="I1497">
        <v>1.9206533695855199</v>
      </c>
      <c r="J1497">
        <v>1.2570722899068101</v>
      </c>
      <c r="K1497">
        <v>1.3389302837218</v>
      </c>
      <c r="L1497">
        <v>10690.6016780145</v>
      </c>
      <c r="M1497">
        <v>250</v>
      </c>
      <c r="O1497">
        <v>42.759673372529598</v>
      </c>
      <c r="P1497">
        <v>0.66332185784172504</v>
      </c>
      <c r="Q1497">
        <v>1.4538147815687501</v>
      </c>
      <c r="R1497">
        <v>0.12743101755150801</v>
      </c>
      <c r="S1497" t="s">
        <v>3371</v>
      </c>
      <c r="T1497" t="s">
        <v>3746</v>
      </c>
      <c r="U1497" t="s">
        <v>3746</v>
      </c>
      <c r="V1497" t="s">
        <v>3746</v>
      </c>
      <c r="W1497" t="s">
        <v>5231</v>
      </c>
      <c r="X1497">
        <v>1</v>
      </c>
      <c r="Y1497" t="s">
        <v>7019</v>
      </c>
      <c r="Z1497" t="s">
        <v>8885</v>
      </c>
      <c r="AA1497">
        <v>1.411993357275664</v>
      </c>
      <c r="AB1497" t="str">
        <f>HYPERLINK("Melting_Curves/meltCurve_Q5SY01_PAFAH2.pdf", "Melting_Curves/meltCurve_Q5SY01_PAFAH2.pdf")</f>
        <v>Melting_Curves/meltCurve_Q5SY01_PAFAH2.pdf</v>
      </c>
    </row>
    <row r="1498" spans="1:28" x14ac:dyDescent="0.25">
      <c r="A1498" t="s">
        <v>1502</v>
      </c>
      <c r="B1498">
        <v>1</v>
      </c>
      <c r="C1498">
        <v>1.07798320668541</v>
      </c>
      <c r="D1498">
        <v>1.3952811184906</v>
      </c>
      <c r="E1498">
        <v>1.8637986397814099</v>
      </c>
      <c r="F1498">
        <v>1.3991503619936601</v>
      </c>
      <c r="G1498">
        <v>1.3441033925686601</v>
      </c>
      <c r="H1498">
        <v>0.84610782025967801</v>
      </c>
      <c r="I1498">
        <v>1.28947525878059</v>
      </c>
      <c r="J1498">
        <v>1.4787690221185099</v>
      </c>
      <c r="K1498">
        <v>1.3559305131733801</v>
      </c>
      <c r="L1498">
        <v>10781.8726745398</v>
      </c>
      <c r="M1498">
        <v>250</v>
      </c>
      <c r="O1498">
        <v>43.124730819626301</v>
      </c>
      <c r="P1498">
        <v>0.53852078591274199</v>
      </c>
      <c r="Q1498">
        <v>1.37157702254132</v>
      </c>
      <c r="R1498">
        <v>0.25038670259783602</v>
      </c>
      <c r="S1498" t="s">
        <v>3372</v>
      </c>
      <c r="T1498" t="s">
        <v>3746</v>
      </c>
      <c r="U1498" t="s">
        <v>3746</v>
      </c>
      <c r="V1498" t="s">
        <v>3746</v>
      </c>
      <c r="W1498" t="s">
        <v>5232</v>
      </c>
      <c r="X1498">
        <v>4</v>
      </c>
      <c r="Y1498" t="s">
        <v>7020</v>
      </c>
      <c r="Z1498" t="s">
        <v>8886</v>
      </c>
      <c r="AA1498">
        <v>1.3328121091976111</v>
      </c>
      <c r="AB1498" t="str">
        <f>HYPERLINK("Melting_Curves/meltCurve_Q5T0D2_CMPK1.pdf", "Melting_Curves/meltCurve_Q5T0D2_CMPK1.pdf")</f>
        <v>Melting_Curves/meltCurve_Q5T0D2_CMPK1.pdf</v>
      </c>
    </row>
    <row r="1499" spans="1:28" x14ac:dyDescent="0.25">
      <c r="A1499" t="s">
        <v>1503</v>
      </c>
      <c r="B1499">
        <v>1</v>
      </c>
      <c r="C1499">
        <v>1.1602041414911699</v>
      </c>
      <c r="D1499">
        <v>1.42312430339649</v>
      </c>
      <c r="E1499">
        <v>1.6276177626561901</v>
      </c>
      <c r="F1499">
        <v>1.3710330263389501</v>
      </c>
      <c r="G1499">
        <v>1.46295535871414</v>
      </c>
      <c r="H1499">
        <v>0.88895406816448597</v>
      </c>
      <c r="I1499">
        <v>1.3580102070745601</v>
      </c>
      <c r="J1499">
        <v>1.03578342230304</v>
      </c>
      <c r="K1499">
        <v>1.1860737959758301</v>
      </c>
      <c r="L1499">
        <v>10717.334408272</v>
      </c>
      <c r="M1499">
        <v>250</v>
      </c>
      <c r="O1499">
        <v>42.866600261066601</v>
      </c>
      <c r="P1499">
        <v>0.42893830851954001</v>
      </c>
      <c r="Q1499">
        <v>1.2941939908225299</v>
      </c>
      <c r="R1499">
        <v>0.17404192974771601</v>
      </c>
      <c r="S1499" t="s">
        <v>3373</v>
      </c>
      <c r="T1499" t="s">
        <v>3746</v>
      </c>
      <c r="U1499" t="s">
        <v>3746</v>
      </c>
      <c r="V1499" t="s">
        <v>3746</v>
      </c>
      <c r="W1499" t="s">
        <v>5233</v>
      </c>
      <c r="X1499">
        <v>1</v>
      </c>
      <c r="Y1499" t="s">
        <v>7021</v>
      </c>
      <c r="Z1499" t="s">
        <v>8887</v>
      </c>
      <c r="AA1499">
        <v>1.266033794131471</v>
      </c>
      <c r="AB1499" t="str">
        <f>HYPERLINK("Melting_Curves/meltCurve_Q5T0N5_3_FNBP1L.pdf", "Melting_Curves/meltCurve_Q5T0N5_3_FNBP1L.pdf")</f>
        <v>Melting_Curves/meltCurve_Q5T0N5_3_FNBP1L.pdf</v>
      </c>
    </row>
    <row r="1500" spans="1:28" x14ac:dyDescent="0.25">
      <c r="A1500" t="s">
        <v>1504</v>
      </c>
      <c r="B1500">
        <v>1</v>
      </c>
      <c r="C1500">
        <v>1.0837664587664599</v>
      </c>
      <c r="D1500">
        <v>1.77079002079002</v>
      </c>
      <c r="E1500">
        <v>2.3409563409563399</v>
      </c>
      <c r="F1500">
        <v>1.8275294525294501</v>
      </c>
      <c r="G1500">
        <v>1.94308731808732</v>
      </c>
      <c r="H1500">
        <v>1.34164934164934</v>
      </c>
      <c r="I1500">
        <v>1.8067394317394301</v>
      </c>
      <c r="J1500">
        <v>1.9261088011087999</v>
      </c>
      <c r="K1500">
        <v>1.68044005544006</v>
      </c>
      <c r="L1500">
        <v>10793.777644534801</v>
      </c>
      <c r="M1500">
        <v>250</v>
      </c>
      <c r="O1500">
        <v>43.172344417611598</v>
      </c>
      <c r="P1500">
        <v>0.72384296267201498</v>
      </c>
      <c r="Q1500">
        <v>1.5</v>
      </c>
      <c r="R1500">
        <v>8.2256675862978898E-2</v>
      </c>
      <c r="S1500" t="s">
        <v>3374</v>
      </c>
      <c r="T1500" t="s">
        <v>3746</v>
      </c>
      <c r="U1500" t="s">
        <v>3746</v>
      </c>
      <c r="V1500" t="s">
        <v>3746</v>
      </c>
      <c r="W1500" t="s">
        <v>5234</v>
      </c>
      <c r="X1500">
        <v>3</v>
      </c>
      <c r="Y1500" t="s">
        <v>7022</v>
      </c>
      <c r="Z1500" t="s">
        <v>8888</v>
      </c>
      <c r="AA1500">
        <v>1.4470436045348849</v>
      </c>
      <c r="AB1500" t="str">
        <f>HYPERLINK("Melting_Curves/meltCurve_Q5T123_SH3BGRL3.pdf", "Melting_Curves/meltCurve_Q5T123_SH3BGRL3.pdf")</f>
        <v>Melting_Curves/meltCurve_Q5T123_SH3BGRL3.pdf</v>
      </c>
    </row>
    <row r="1501" spans="1:28" x14ac:dyDescent="0.25">
      <c r="A1501" t="s">
        <v>1505</v>
      </c>
      <c r="B1501">
        <v>1</v>
      </c>
      <c r="C1501">
        <v>1.8510959457448399</v>
      </c>
      <c r="D1501">
        <v>3.5033059081148901</v>
      </c>
      <c r="E1501">
        <v>4.8500116929225898</v>
      </c>
      <c r="F1501">
        <v>2.03424963326743</v>
      </c>
      <c r="G1501">
        <v>2.6862895167634</v>
      </c>
      <c r="H1501">
        <v>2.54236026957502</v>
      </c>
      <c r="I1501">
        <v>2.5896634564279202</v>
      </c>
      <c r="J1501">
        <v>2.5533090970937802</v>
      </c>
      <c r="K1501">
        <v>3.0747071454386998</v>
      </c>
      <c r="L1501">
        <v>10236.1305373917</v>
      </c>
      <c r="M1501">
        <v>250</v>
      </c>
      <c r="O1501">
        <v>40.941903485645902</v>
      </c>
      <c r="P1501">
        <v>0.76327670506239798</v>
      </c>
      <c r="Q1501">
        <v>1.5</v>
      </c>
      <c r="R1501">
        <v>-1.4093172391509601</v>
      </c>
      <c r="S1501" t="s">
        <v>3375</v>
      </c>
      <c r="T1501" t="s">
        <v>3746</v>
      </c>
      <c r="U1501" t="s">
        <v>3746</v>
      </c>
      <c r="V1501" t="s">
        <v>3746</v>
      </c>
      <c r="W1501" t="s">
        <v>5235</v>
      </c>
      <c r="X1501">
        <v>1</v>
      </c>
      <c r="Y1501" t="s">
        <v>7023</v>
      </c>
      <c r="Z1501" t="s">
        <v>8889</v>
      </c>
      <c r="AA1501">
        <v>1.4842149868678891</v>
      </c>
      <c r="AB1501" t="str">
        <f>HYPERLINK("Melting_Curves/meltCurve_Q5T278_CCBL1.pdf", "Melting_Curves/meltCurve_Q5T278_CCBL1.pdf")</f>
        <v>Melting_Curves/meltCurve_Q5T278_CCBL1.pdf</v>
      </c>
    </row>
    <row r="1502" spans="1:28" x14ac:dyDescent="0.25">
      <c r="A1502" t="s">
        <v>1506</v>
      </c>
      <c r="B1502">
        <v>1</v>
      </c>
      <c r="C1502">
        <v>0.91511123952614903</v>
      </c>
      <c r="D1502">
        <v>1.3254358085331801</v>
      </c>
      <c r="E1502">
        <v>1.60743523066551</v>
      </c>
      <c r="F1502">
        <v>0.93486468265433897</v>
      </c>
      <c r="G1502">
        <v>0.85315419435615902</v>
      </c>
      <c r="H1502">
        <v>0.647086583838968</v>
      </c>
      <c r="I1502">
        <v>0.98285659250698298</v>
      </c>
      <c r="J1502">
        <v>1.03486468265434</v>
      </c>
      <c r="K1502">
        <v>0.93166714822305696</v>
      </c>
      <c r="L1502">
        <v>13230.330793368799</v>
      </c>
      <c r="M1502">
        <v>250</v>
      </c>
      <c r="O1502">
        <v>52.917957962102001</v>
      </c>
      <c r="P1502">
        <v>-0.130005833914071</v>
      </c>
      <c r="Q1502">
        <v>0.88992575230439797</v>
      </c>
      <c r="R1502">
        <v>9.3837178265924401E-2</v>
      </c>
      <c r="S1502" t="s">
        <v>3376</v>
      </c>
      <c r="T1502" t="s">
        <v>3746</v>
      </c>
      <c r="U1502" t="s">
        <v>3746</v>
      </c>
      <c r="V1502" t="s">
        <v>3746</v>
      </c>
      <c r="W1502" t="s">
        <v>5236</v>
      </c>
      <c r="X1502">
        <v>1</v>
      </c>
      <c r="Y1502" t="s">
        <v>7024</v>
      </c>
      <c r="Z1502" t="s">
        <v>8890</v>
      </c>
      <c r="AA1502">
        <v>0.93734613982280734</v>
      </c>
      <c r="AB1502" t="str">
        <f>HYPERLINK("Melting_Curves/meltCurve_Q5T2L0_VTCN1.pdf", "Melting_Curves/meltCurve_Q5T2L0_VTCN1.pdf")</f>
        <v>Melting_Curves/meltCurve_Q5T2L0_VTCN1.pdf</v>
      </c>
    </row>
    <row r="1503" spans="1:28" x14ac:dyDescent="0.25">
      <c r="A1503" t="s">
        <v>1507</v>
      </c>
      <c r="B1503">
        <v>1</v>
      </c>
      <c r="C1503">
        <v>1.63484629140765</v>
      </c>
      <c r="D1503">
        <v>1.42885123052031</v>
      </c>
      <c r="E1503">
        <v>1.98305373413949</v>
      </c>
      <c r="F1503">
        <v>1.53069913991314</v>
      </c>
      <c r="G1503">
        <v>1.5611853870390899</v>
      </c>
      <c r="H1503">
        <v>0.83145703823554495</v>
      </c>
      <c r="I1503">
        <v>1.7321808737119999</v>
      </c>
      <c r="J1503">
        <v>1.26313548496977</v>
      </c>
      <c r="K1503">
        <v>1.1693775014902501</v>
      </c>
      <c r="L1503">
        <v>10244.416824305001</v>
      </c>
      <c r="M1503">
        <v>250</v>
      </c>
      <c r="O1503">
        <v>40.975044421935799</v>
      </c>
      <c r="P1503">
        <v>0.70076329841303497</v>
      </c>
      <c r="Q1503">
        <v>1.45942092243319</v>
      </c>
      <c r="R1503">
        <v>0.1722677895892</v>
      </c>
      <c r="S1503" t="s">
        <v>3377</v>
      </c>
      <c r="T1503" t="s">
        <v>3746</v>
      </c>
      <c r="U1503" t="s">
        <v>3746</v>
      </c>
      <c r="V1503" t="s">
        <v>3746</v>
      </c>
      <c r="W1503" t="s">
        <v>5237</v>
      </c>
      <c r="X1503">
        <v>1</v>
      </c>
      <c r="Y1503" t="s">
        <v>7025</v>
      </c>
      <c r="Z1503" t="s">
        <v>8891</v>
      </c>
      <c r="AA1503">
        <v>1.444410594040888</v>
      </c>
      <c r="AB1503" t="str">
        <f>HYPERLINK("Melting_Curves/meltCurve_Q5T3N0_ANXA1.pdf", "Melting_Curves/meltCurve_Q5T3N0_ANXA1.pdf")</f>
        <v>Melting_Curves/meltCurve_Q5T3N0_ANXA1.pdf</v>
      </c>
    </row>
    <row r="1504" spans="1:28" x14ac:dyDescent="0.25">
      <c r="A1504" t="s">
        <v>1508</v>
      </c>
      <c r="B1504">
        <v>1</v>
      </c>
      <c r="C1504">
        <v>1.0719044626021399</v>
      </c>
      <c r="D1504">
        <v>1.51433060967945</v>
      </c>
      <c r="E1504">
        <v>2.2678818353237</v>
      </c>
      <c r="F1504">
        <v>1.7203645505971099</v>
      </c>
      <c r="G1504">
        <v>2.0136392206159601</v>
      </c>
      <c r="H1504">
        <v>1.1504714016341899</v>
      </c>
      <c r="I1504">
        <v>2.4304211187932099</v>
      </c>
      <c r="J1504">
        <v>2.0063482086737898</v>
      </c>
      <c r="K1504">
        <v>1.7250785669390301</v>
      </c>
      <c r="L1504">
        <v>10801.533926463</v>
      </c>
      <c r="M1504">
        <v>250</v>
      </c>
      <c r="O1504">
        <v>43.203390616426198</v>
      </c>
      <c r="P1504">
        <v>0.72332318880442703</v>
      </c>
      <c r="Q1504">
        <v>1.5</v>
      </c>
      <c r="R1504">
        <v>3.1772197090278197E-2</v>
      </c>
      <c r="S1504" t="s">
        <v>3378</v>
      </c>
      <c r="T1504" t="s">
        <v>3746</v>
      </c>
      <c r="U1504" t="s">
        <v>3746</v>
      </c>
      <c r="V1504" t="s">
        <v>3746</v>
      </c>
      <c r="W1504" t="s">
        <v>5238</v>
      </c>
      <c r="X1504">
        <v>1</v>
      </c>
      <c r="Y1504" t="s">
        <v>7026</v>
      </c>
      <c r="Z1504" t="s">
        <v>8892</v>
      </c>
      <c r="AA1504">
        <v>1.446526491849742</v>
      </c>
      <c r="AB1504" t="str">
        <f>HYPERLINK("Melting_Curves/meltCurve_Q5T446_UROD.pdf", "Melting_Curves/meltCurve_Q5T446_UROD.pdf")</f>
        <v>Melting_Curves/meltCurve_Q5T446_UROD.pdf</v>
      </c>
    </row>
    <row r="1505" spans="1:28" x14ac:dyDescent="0.25">
      <c r="A1505" t="s">
        <v>1509</v>
      </c>
      <c r="B1505">
        <v>1</v>
      </c>
      <c r="C1505">
        <v>1.1369711289965301</v>
      </c>
      <c r="D1505">
        <v>1.7808831130473299</v>
      </c>
      <c r="E1505">
        <v>2.2095547515321599</v>
      </c>
      <c r="F1505">
        <v>2.0694823894262702</v>
      </c>
      <c r="G1505">
        <v>2.2661891752196701</v>
      </c>
      <c r="H1505">
        <v>1.3793472642693601</v>
      </c>
      <c r="I1505">
        <v>2.2933988038100899</v>
      </c>
      <c r="J1505">
        <v>2.5563021487115098</v>
      </c>
      <c r="K1505">
        <v>2.18625858377021</v>
      </c>
      <c r="L1505">
        <v>10766.8151089455</v>
      </c>
      <c r="M1505">
        <v>250</v>
      </c>
      <c r="O1505">
        <v>43.064504662307499</v>
      </c>
      <c r="P1505">
        <v>0.72565562891844304</v>
      </c>
      <c r="Q1505">
        <v>1.5</v>
      </c>
      <c r="R1505">
        <v>-0.431346112922186</v>
      </c>
      <c r="S1505" t="s">
        <v>3379</v>
      </c>
      <c r="T1505" t="s">
        <v>3746</v>
      </c>
      <c r="U1505" t="s">
        <v>3746</v>
      </c>
      <c r="V1505" t="s">
        <v>3746</v>
      </c>
      <c r="W1505" t="s">
        <v>5239</v>
      </c>
      <c r="X1505">
        <v>1</v>
      </c>
      <c r="Y1505" t="s">
        <v>7027</v>
      </c>
      <c r="Z1505" t="s">
        <v>8893</v>
      </c>
      <c r="AA1505">
        <v>1.4488412015394549</v>
      </c>
      <c r="AB1505" t="str">
        <f>HYPERLINK("Melting_Curves/meltCurve_Q5T4U8_RABGGTB.pdf", "Melting_Curves/meltCurve_Q5T4U8_RABGGTB.pdf")</f>
        <v>Melting_Curves/meltCurve_Q5T4U8_RABGGTB.pdf</v>
      </c>
    </row>
    <row r="1506" spans="1:28" x14ac:dyDescent="0.25">
      <c r="A1506" t="s">
        <v>1510</v>
      </c>
      <c r="B1506">
        <v>1</v>
      </c>
      <c r="C1506">
        <v>1.03134515006525</v>
      </c>
      <c r="D1506">
        <v>1.6126848629839099</v>
      </c>
      <c r="E1506">
        <v>2.0237603305785101</v>
      </c>
      <c r="F1506">
        <v>1.7764517181383199</v>
      </c>
      <c r="G1506">
        <v>1.92203131796433</v>
      </c>
      <c r="H1506">
        <v>1.3546107003044801</v>
      </c>
      <c r="I1506">
        <v>2.4955415397999099</v>
      </c>
      <c r="J1506">
        <v>2.5268051326663801</v>
      </c>
      <c r="K1506">
        <v>2.3205197912135702</v>
      </c>
      <c r="L1506">
        <v>10841.0346594332</v>
      </c>
      <c r="M1506">
        <v>250</v>
      </c>
      <c r="O1506">
        <v>43.361364644096199</v>
      </c>
      <c r="P1506">
        <v>0.72068766817093699</v>
      </c>
      <c r="Q1506">
        <v>1.5</v>
      </c>
      <c r="R1506">
        <v>-0.16677065643518699</v>
      </c>
      <c r="S1506" t="s">
        <v>3380</v>
      </c>
      <c r="T1506" t="s">
        <v>3746</v>
      </c>
      <c r="U1506" t="s">
        <v>3746</v>
      </c>
      <c r="V1506" t="s">
        <v>3746</v>
      </c>
      <c r="W1506" t="s">
        <v>5240</v>
      </c>
      <c r="X1506">
        <v>6</v>
      </c>
      <c r="Y1506" t="s">
        <v>7028</v>
      </c>
      <c r="Z1506" t="s">
        <v>8894</v>
      </c>
      <c r="AA1506">
        <v>1.44389297100845</v>
      </c>
      <c r="AB1506" t="str">
        <f>HYPERLINK("Melting_Curves/meltCurve_Q5T5C7_SARS.pdf", "Melting_Curves/meltCurve_Q5T5C7_SARS.pdf")</f>
        <v>Melting_Curves/meltCurve_Q5T5C7_SARS.pdf</v>
      </c>
    </row>
    <row r="1507" spans="1:28" x14ac:dyDescent="0.25">
      <c r="A1507" t="s">
        <v>1511</v>
      </c>
      <c r="B1507">
        <v>1</v>
      </c>
      <c r="C1507">
        <v>1.3427300602343899</v>
      </c>
      <c r="D1507">
        <v>1.8398758953351699</v>
      </c>
      <c r="E1507">
        <v>2.7487244125025798</v>
      </c>
      <c r="F1507">
        <v>2.3120553623153302</v>
      </c>
      <c r="G1507">
        <v>2.3930142647646999</v>
      </c>
      <c r="H1507">
        <v>1.67032274484614</v>
      </c>
      <c r="I1507">
        <v>2.8758589763789102</v>
      </c>
      <c r="J1507">
        <v>3.0479572420646899</v>
      </c>
      <c r="K1507">
        <v>2.5395401825211201</v>
      </c>
      <c r="L1507">
        <v>10691.5817684175</v>
      </c>
      <c r="M1507">
        <v>250</v>
      </c>
      <c r="O1507">
        <v>42.763606241328603</v>
      </c>
      <c r="P1507">
        <v>0.73076184063716199</v>
      </c>
      <c r="Q1507">
        <v>1.5</v>
      </c>
      <c r="R1507">
        <v>-1.020554036391</v>
      </c>
      <c r="S1507" t="s">
        <v>3381</v>
      </c>
      <c r="T1507" t="s">
        <v>3746</v>
      </c>
      <c r="U1507" t="s">
        <v>3746</v>
      </c>
      <c r="V1507" t="s">
        <v>3746</v>
      </c>
      <c r="W1507" t="s">
        <v>5241</v>
      </c>
      <c r="X1507">
        <v>1</v>
      </c>
      <c r="Y1507" t="s">
        <v>7029</v>
      </c>
      <c r="Z1507" t="s">
        <v>8895</v>
      </c>
      <c r="AA1507">
        <v>1.4538570215762281</v>
      </c>
      <c r="AB1507" t="str">
        <f>HYPERLINK("Melting_Curves/meltCurve_Q5T6W2_HNRNPK.pdf", "Melting_Curves/meltCurve_Q5T6W2_HNRNPK.pdf")</f>
        <v>Melting_Curves/meltCurve_Q5T6W2_HNRNPK.pdf</v>
      </c>
    </row>
    <row r="1508" spans="1:28" x14ac:dyDescent="0.25">
      <c r="A1508" t="s">
        <v>1512</v>
      </c>
      <c r="B1508">
        <v>1</v>
      </c>
      <c r="C1508">
        <v>1.3043934743983201</v>
      </c>
      <c r="D1508">
        <v>1.1332741075755099</v>
      </c>
      <c r="E1508">
        <v>1.2339686641899501</v>
      </c>
      <c r="F1508">
        <v>1.01277661120982</v>
      </c>
      <c r="G1508">
        <v>0.93768373445323805</v>
      </c>
      <c r="H1508">
        <v>1.21119366822807</v>
      </c>
      <c r="I1508">
        <v>1.3185107413988</v>
      </c>
      <c r="J1508">
        <v>1.2823614924891</v>
      </c>
      <c r="K1508">
        <v>1.6060248748182799</v>
      </c>
      <c r="L1508">
        <v>1598.36975759969</v>
      </c>
      <c r="M1508">
        <v>25.415718764676502</v>
      </c>
      <c r="O1508">
        <v>62.5035685955215</v>
      </c>
      <c r="P1508">
        <v>5.0829177788719197E-2</v>
      </c>
      <c r="Q1508">
        <v>1.5</v>
      </c>
      <c r="R1508">
        <v>0.38051474025409898</v>
      </c>
      <c r="S1508" t="s">
        <v>3382</v>
      </c>
      <c r="T1508" t="s">
        <v>3746</v>
      </c>
      <c r="U1508" t="s">
        <v>3746</v>
      </c>
      <c r="V1508" t="s">
        <v>3746</v>
      </c>
      <c r="W1508" t="s">
        <v>5242</v>
      </c>
      <c r="X1508">
        <v>4</v>
      </c>
      <c r="Y1508" t="s">
        <v>7030</v>
      </c>
      <c r="Z1508" t="s">
        <v>8896</v>
      </c>
      <c r="AA1508">
        <v>1.117169411484759</v>
      </c>
      <c r="AB1508" t="str">
        <f>HYPERLINK("Melting_Curves/meltCurve_Q5T749_KPRP.pdf", "Melting_Curves/meltCurve_Q5T749_KPRP.pdf")</f>
        <v>Melting_Curves/meltCurve_Q5T749_KPRP.pdf</v>
      </c>
    </row>
    <row r="1509" spans="1:28" x14ac:dyDescent="0.25">
      <c r="A1509" t="s">
        <v>1513</v>
      </c>
      <c r="B1509">
        <v>1</v>
      </c>
      <c r="C1509">
        <v>1.16874752838823</v>
      </c>
      <c r="D1509">
        <v>0.60013558556013802</v>
      </c>
      <c r="E1509">
        <v>0.56573074967516002</v>
      </c>
      <c r="F1509">
        <v>0.67775831873905401</v>
      </c>
      <c r="G1509">
        <v>0.59821479012485201</v>
      </c>
      <c r="H1509">
        <v>0.78153776622789695</v>
      </c>
      <c r="I1509">
        <v>0.76345969154285098</v>
      </c>
      <c r="J1509">
        <v>0.910174566408677</v>
      </c>
      <c r="K1509">
        <v>0.90537257782046199</v>
      </c>
      <c r="L1509">
        <v>11107.146549622001</v>
      </c>
      <c r="M1509">
        <v>250</v>
      </c>
      <c r="O1509">
        <v>44.425743070770402</v>
      </c>
      <c r="P1509">
        <v>-0.38647541704376798</v>
      </c>
      <c r="Q1509">
        <v>0.72528867907388495</v>
      </c>
      <c r="R1509">
        <v>0.54663875860861399</v>
      </c>
      <c r="S1509" t="s">
        <v>3383</v>
      </c>
      <c r="T1509" t="s">
        <v>3746</v>
      </c>
      <c r="U1509" t="s">
        <v>3746</v>
      </c>
      <c r="V1509" t="s">
        <v>3746</v>
      </c>
      <c r="W1509" t="s">
        <v>5243</v>
      </c>
      <c r="X1509">
        <v>1</v>
      </c>
      <c r="Y1509" t="s">
        <v>7031</v>
      </c>
      <c r="Z1509" t="s">
        <v>8897</v>
      </c>
      <c r="AA1509">
        <v>0.76586285753547456</v>
      </c>
      <c r="AB1509" t="str">
        <f>HYPERLINK("Melting_Curves/meltCurve_Q5T750_XP32.pdf", "Melting_Curves/meltCurve_Q5T750_XP32.pdf")</f>
        <v>Melting_Curves/meltCurve_Q5T750_XP32.pdf</v>
      </c>
    </row>
    <row r="1510" spans="1:28" x14ac:dyDescent="0.25">
      <c r="A1510" t="s">
        <v>1514</v>
      </c>
      <c r="B1510">
        <v>1</v>
      </c>
      <c r="C1510">
        <v>0.77472995348103801</v>
      </c>
      <c r="D1510">
        <v>1.3005598044626701</v>
      </c>
      <c r="E1510">
        <v>1.25979657809666</v>
      </c>
      <c r="F1510">
        <v>0.92564850587400505</v>
      </c>
      <c r="G1510">
        <v>1.24804856895056</v>
      </c>
      <c r="H1510">
        <v>0.75307892454466596</v>
      </c>
      <c r="I1510">
        <v>0.98289048332413498</v>
      </c>
      <c r="J1510">
        <v>0.90814476070330397</v>
      </c>
      <c r="K1510">
        <v>0.99109043601671498</v>
      </c>
      <c r="L1510">
        <v>2336.3648199386798</v>
      </c>
      <c r="M1510">
        <v>39.337159442158303</v>
      </c>
      <c r="O1510">
        <v>59.240457033102899</v>
      </c>
      <c r="P1510">
        <v>-1.2953985769237101E-2</v>
      </c>
      <c r="Q1510">
        <v>0.92196708171696895</v>
      </c>
      <c r="R1510">
        <v>5.0627985506574803E-2</v>
      </c>
      <c r="S1510" t="s">
        <v>3384</v>
      </c>
      <c r="T1510" t="s">
        <v>3746</v>
      </c>
      <c r="U1510" t="s">
        <v>3746</v>
      </c>
      <c r="V1510" t="s">
        <v>3746</v>
      </c>
      <c r="W1510" t="s">
        <v>5244</v>
      </c>
      <c r="X1510">
        <v>1</v>
      </c>
      <c r="Y1510" t="s">
        <v>7032</v>
      </c>
      <c r="Z1510" t="s">
        <v>8898</v>
      </c>
      <c r="AA1510">
        <v>0.972727479793006</v>
      </c>
      <c r="AB1510" t="str">
        <f>HYPERLINK("Melting_Curves/meltCurve_Q5T8R3_SLC16A1.pdf", "Melting_Curves/meltCurve_Q5T8R3_SLC16A1.pdf")</f>
        <v>Melting_Curves/meltCurve_Q5T8R3_SLC16A1.pdf</v>
      </c>
    </row>
    <row r="1511" spans="1:28" x14ac:dyDescent="0.25">
      <c r="A1511" t="s">
        <v>1515</v>
      </c>
      <c r="B1511">
        <v>1</v>
      </c>
      <c r="C1511">
        <v>0.98820173276044199</v>
      </c>
      <c r="D1511">
        <v>1.4731633443685299</v>
      </c>
      <c r="E1511">
        <v>1.7628372191307999</v>
      </c>
      <c r="F1511">
        <v>1.47298725082764</v>
      </c>
      <c r="G1511">
        <v>1.68250334577728</v>
      </c>
      <c r="H1511">
        <v>1.41438332041981</v>
      </c>
      <c r="I1511">
        <v>2.0198633514122699</v>
      </c>
      <c r="J1511">
        <v>1.9328027047967899</v>
      </c>
      <c r="K1511">
        <v>2.01810241600338</v>
      </c>
      <c r="L1511">
        <v>11367.9952280978</v>
      </c>
      <c r="M1511">
        <v>250</v>
      </c>
      <c r="O1511">
        <v>45.469081740026297</v>
      </c>
      <c r="P1511">
        <v>0.68728037140897202</v>
      </c>
      <c r="Q1511">
        <v>1.5</v>
      </c>
      <c r="R1511">
        <v>0.35178531917412798</v>
      </c>
      <c r="S1511" t="s">
        <v>3385</v>
      </c>
      <c r="T1511" t="s">
        <v>3746</v>
      </c>
      <c r="U1511" t="s">
        <v>3746</v>
      </c>
      <c r="V1511" t="s">
        <v>3746</v>
      </c>
      <c r="W1511" t="s">
        <v>5245</v>
      </c>
      <c r="X1511">
        <v>1</v>
      </c>
      <c r="Y1511" t="s">
        <v>7033</v>
      </c>
      <c r="Z1511" t="s">
        <v>8899</v>
      </c>
      <c r="AA1511">
        <v>1.408760416817417</v>
      </c>
      <c r="AB1511" t="str">
        <f>HYPERLINK("Melting_Curves/meltCurve_Q5T946_GRHPR.pdf", "Melting_Curves/meltCurve_Q5T946_GRHPR.pdf")</f>
        <v>Melting_Curves/meltCurve_Q5T946_GRHPR.pdf</v>
      </c>
    </row>
    <row r="1512" spans="1:28" x14ac:dyDescent="0.25">
      <c r="A1512" t="s">
        <v>1516</v>
      </c>
      <c r="B1512">
        <v>1</v>
      </c>
      <c r="C1512">
        <v>1.2201454705752699</v>
      </c>
      <c r="D1512">
        <v>1.88058188230108</v>
      </c>
      <c r="E1512">
        <v>2.3985012122547902</v>
      </c>
      <c r="F1512">
        <v>2.4853427374917301</v>
      </c>
      <c r="G1512">
        <v>3.1520828741459099</v>
      </c>
      <c r="H1512">
        <v>2.00096980383513</v>
      </c>
      <c r="I1512">
        <v>3.7577694511791901</v>
      </c>
      <c r="J1512">
        <v>3.79016971567115</v>
      </c>
      <c r="K1512">
        <v>3.5294247299978001</v>
      </c>
      <c r="L1512">
        <v>10735.295170662401</v>
      </c>
      <c r="M1512">
        <v>250</v>
      </c>
      <c r="O1512">
        <v>42.938432728721303</v>
      </c>
      <c r="P1512">
        <v>0.72778622898843504</v>
      </c>
      <c r="Q1512">
        <v>1.5</v>
      </c>
      <c r="R1512">
        <v>-1.0916169866805101</v>
      </c>
      <c r="S1512" t="s">
        <v>3386</v>
      </c>
      <c r="T1512" t="s">
        <v>3746</v>
      </c>
      <c r="U1512" t="s">
        <v>3746</v>
      </c>
      <c r="V1512" t="s">
        <v>3746</v>
      </c>
      <c r="W1512" t="s">
        <v>5246</v>
      </c>
      <c r="X1512">
        <v>2</v>
      </c>
      <c r="Y1512" t="s">
        <v>7034</v>
      </c>
      <c r="Z1512" t="s">
        <v>8900</v>
      </c>
      <c r="AA1512">
        <v>1.4509426413783271</v>
      </c>
      <c r="AB1512" t="str">
        <f>HYPERLINK("Melting_Curves/meltCurve_Q5T949_PPP2R4.pdf", "Melting_Curves/meltCurve_Q5T949_PPP2R4.pdf")</f>
        <v>Melting_Curves/meltCurve_Q5T949_PPP2R4.pdf</v>
      </c>
    </row>
    <row r="1513" spans="1:28" x14ac:dyDescent="0.25">
      <c r="A1513" t="s">
        <v>1517</v>
      </c>
      <c r="B1513">
        <v>1</v>
      </c>
      <c r="C1513">
        <v>1.09295091146643</v>
      </c>
      <c r="D1513">
        <v>1.98705904311578</v>
      </c>
      <c r="E1513">
        <v>3.7301063895974602</v>
      </c>
      <c r="F1513">
        <v>2.9725626827599099</v>
      </c>
      <c r="G1513">
        <v>3.36122690225845</v>
      </c>
      <c r="H1513">
        <v>2.0778323897218902</v>
      </c>
      <c r="I1513">
        <v>3.2939712561438399</v>
      </c>
      <c r="J1513">
        <v>3.30772102283332</v>
      </c>
      <c r="K1513">
        <v>3.0459155104834199</v>
      </c>
      <c r="S1513" t="s">
        <v>3387</v>
      </c>
      <c r="T1513" t="s">
        <v>3746</v>
      </c>
      <c r="U1513" t="s">
        <v>3747</v>
      </c>
      <c r="V1513" t="s">
        <v>3746</v>
      </c>
      <c r="W1513" t="s">
        <v>5247</v>
      </c>
      <c r="X1513">
        <v>18</v>
      </c>
      <c r="Y1513" t="s">
        <v>7035</v>
      </c>
      <c r="Z1513" t="s">
        <v>8901</v>
      </c>
      <c r="AB1513" t="str">
        <f>HYPERLINK("Melting_Curves/meltCurve_Q5T985_ITIH2.pdf", "Melting_Curves/meltCurve_Q5T985_ITIH2.pdf")</f>
        <v>Melting_Curves/meltCurve_Q5T985_ITIH2.pdf</v>
      </c>
    </row>
    <row r="1514" spans="1:28" x14ac:dyDescent="0.25">
      <c r="A1514" t="s">
        <v>1518</v>
      </c>
      <c r="B1514">
        <v>1</v>
      </c>
      <c r="C1514">
        <v>1.19759519743676</v>
      </c>
      <c r="D1514">
        <v>1.48381247469324</v>
      </c>
      <c r="E1514">
        <v>1.9324683555446001</v>
      </c>
      <c r="F1514">
        <v>1.46545076844533</v>
      </c>
      <c r="G1514">
        <v>1.73196838195166</v>
      </c>
      <c r="H1514">
        <v>1.21535834374945</v>
      </c>
      <c r="I1514">
        <v>2.0078164885657399</v>
      </c>
      <c r="J1514">
        <v>1.75837543791701</v>
      </c>
      <c r="K1514">
        <v>1.65313451754309</v>
      </c>
      <c r="L1514">
        <v>2845.13150609382</v>
      </c>
      <c r="M1514">
        <v>65.891443540113997</v>
      </c>
      <c r="O1514">
        <v>43.139358085380501</v>
      </c>
      <c r="P1514">
        <v>0.19092619688231199</v>
      </c>
      <c r="Q1514">
        <v>1.5</v>
      </c>
      <c r="R1514">
        <v>0.32398406316864597</v>
      </c>
      <c r="S1514" t="s">
        <v>3388</v>
      </c>
      <c r="T1514" t="s">
        <v>3746</v>
      </c>
      <c r="U1514" t="s">
        <v>3746</v>
      </c>
      <c r="V1514" t="s">
        <v>3746</v>
      </c>
      <c r="W1514" t="s">
        <v>5248</v>
      </c>
      <c r="X1514">
        <v>8</v>
      </c>
      <c r="Y1514" t="s">
        <v>7036</v>
      </c>
      <c r="Z1514" t="s">
        <v>8902</v>
      </c>
      <c r="AA1514">
        <v>1.4464200196154029</v>
      </c>
      <c r="AB1514" t="str">
        <f>HYPERLINK("Melting_Curves/meltCurve_Q5T9B7_AK1.pdf", "Melting_Curves/meltCurve_Q5T9B7_AK1.pdf")</f>
        <v>Melting_Curves/meltCurve_Q5T9B7_AK1.pdf</v>
      </c>
    </row>
    <row r="1515" spans="1:28" x14ac:dyDescent="0.25">
      <c r="A1515" t="s">
        <v>1519</v>
      </c>
      <c r="B1515">
        <v>1</v>
      </c>
      <c r="C1515">
        <v>0.94137780820212802</v>
      </c>
      <c r="D1515">
        <v>1.6116953969340599</v>
      </c>
      <c r="E1515">
        <v>2.28244860704877</v>
      </c>
      <c r="F1515">
        <v>1.78832949571639</v>
      </c>
      <c r="G1515">
        <v>2.7752193664820499</v>
      </c>
      <c r="H1515">
        <v>1.9615408550625399</v>
      </c>
      <c r="I1515">
        <v>3.0110772294480102</v>
      </c>
      <c r="J1515">
        <v>2.8960524405169399</v>
      </c>
      <c r="K1515">
        <v>2.62731553508827</v>
      </c>
      <c r="L1515">
        <v>11086.250974981</v>
      </c>
      <c r="M1515">
        <v>250</v>
      </c>
      <c r="O1515">
        <v>44.342166083459901</v>
      </c>
      <c r="P1515">
        <v>0.70474680818304702</v>
      </c>
      <c r="Q1515">
        <v>1.5</v>
      </c>
      <c r="R1515">
        <v>-0.56774866473551699</v>
      </c>
      <c r="S1515" t="s">
        <v>3389</v>
      </c>
      <c r="T1515" t="s">
        <v>3746</v>
      </c>
      <c r="U1515" t="s">
        <v>3746</v>
      </c>
      <c r="V1515" t="s">
        <v>3746</v>
      </c>
      <c r="W1515" t="s">
        <v>5249</v>
      </c>
      <c r="X1515">
        <v>4</v>
      </c>
      <c r="Y1515" t="s">
        <v>7037</v>
      </c>
      <c r="Z1515" t="s">
        <v>8903</v>
      </c>
      <c r="AA1515">
        <v>1.427544355938754</v>
      </c>
      <c r="AB1515" t="str">
        <f>HYPERLINK("Melting_Curves/meltCurve_Q5TAW7_CAB39L.pdf", "Melting_Curves/meltCurve_Q5TAW7_CAB39L.pdf")</f>
        <v>Melting_Curves/meltCurve_Q5TAW7_CAB39L.pdf</v>
      </c>
    </row>
    <row r="1516" spans="1:28" x14ac:dyDescent="0.25">
      <c r="A1516" t="s">
        <v>1520</v>
      </c>
      <c r="B1516">
        <v>1</v>
      </c>
      <c r="C1516">
        <v>1.5222302198106401</v>
      </c>
      <c r="D1516">
        <v>1.4590185113412</v>
      </c>
      <c r="E1516">
        <v>1.31103851761623</v>
      </c>
      <c r="F1516">
        <v>1.4953398667478699</v>
      </c>
      <c r="G1516">
        <v>1.91923666094531</v>
      </c>
      <c r="H1516">
        <v>1.6057988668032399</v>
      </c>
      <c r="I1516">
        <v>5.2359596183304697</v>
      </c>
      <c r="J1516">
        <v>4.6758208294114398</v>
      </c>
      <c r="K1516">
        <v>4.39104516176661</v>
      </c>
      <c r="L1516">
        <v>10273.7957297661</v>
      </c>
      <c r="M1516">
        <v>250</v>
      </c>
      <c r="O1516">
        <v>41.092551152473099</v>
      </c>
      <c r="P1516">
        <v>0.76047842438809699</v>
      </c>
      <c r="Q1516">
        <v>1.5</v>
      </c>
      <c r="R1516">
        <v>-0.38068490673366201</v>
      </c>
      <c r="S1516" t="s">
        <v>3390</v>
      </c>
      <c r="T1516" t="s">
        <v>3746</v>
      </c>
      <c r="U1516" t="s">
        <v>3746</v>
      </c>
      <c r="V1516" t="s">
        <v>3746</v>
      </c>
      <c r="W1516" t="s">
        <v>5250</v>
      </c>
      <c r="X1516">
        <v>1</v>
      </c>
      <c r="Y1516" t="s">
        <v>7038</v>
      </c>
      <c r="Z1516" t="s">
        <v>8904</v>
      </c>
      <c r="AA1516">
        <v>1.481708149383264</v>
      </c>
      <c r="AB1516" t="str">
        <f>HYPERLINK("Melting_Curves/meltCurve_Q5TCJ7_SEMA4A.pdf", "Melting_Curves/meltCurve_Q5TCJ7_SEMA4A.pdf")</f>
        <v>Melting_Curves/meltCurve_Q5TCJ7_SEMA4A.pdf</v>
      </c>
    </row>
    <row r="1517" spans="1:28" x14ac:dyDescent="0.25">
      <c r="A1517" t="s">
        <v>1521</v>
      </c>
      <c r="B1517">
        <v>1</v>
      </c>
      <c r="C1517">
        <v>0.98538529672276398</v>
      </c>
      <c r="D1517">
        <v>1.63724042909162</v>
      </c>
      <c r="E1517">
        <v>2.4229406554473001</v>
      </c>
      <c r="F1517">
        <v>1.6536758193091201</v>
      </c>
      <c r="G1517">
        <v>1.8826887117409701</v>
      </c>
      <c r="H1517">
        <v>1.38136010235213</v>
      </c>
      <c r="I1517">
        <v>2.1650920185021199</v>
      </c>
      <c r="J1517">
        <v>2.1255289833677802</v>
      </c>
      <c r="K1517">
        <v>1.9934061608109399</v>
      </c>
      <c r="L1517">
        <v>11051.1615786493</v>
      </c>
      <c r="M1517">
        <v>250</v>
      </c>
      <c r="O1517">
        <v>44.2018241302289</v>
      </c>
      <c r="P1517">
        <v>0.70698450393643797</v>
      </c>
      <c r="Q1517">
        <v>1.5</v>
      </c>
      <c r="R1517">
        <v>4.4617210697747199E-3</v>
      </c>
      <c r="S1517" t="s">
        <v>3391</v>
      </c>
      <c r="T1517" t="s">
        <v>3746</v>
      </c>
      <c r="U1517" t="s">
        <v>3746</v>
      </c>
      <c r="V1517" t="s">
        <v>3746</v>
      </c>
      <c r="W1517" t="s">
        <v>5251</v>
      </c>
      <c r="X1517">
        <v>11</v>
      </c>
      <c r="Y1517" t="s">
        <v>7039</v>
      </c>
      <c r="Z1517" t="s">
        <v>8905</v>
      </c>
      <c r="AA1517">
        <v>1.429883772190393</v>
      </c>
      <c r="AB1517" t="str">
        <f>HYPERLINK("Melting_Curves/meltCurve_Q5TCU6_TLN1.pdf", "Melting_Curves/meltCurve_Q5TCU6_TLN1.pdf")</f>
        <v>Melting_Curves/meltCurve_Q5TCU6_TLN1.pdf</v>
      </c>
    </row>
    <row r="1518" spans="1:28" x14ac:dyDescent="0.25">
      <c r="A1518" t="s">
        <v>1522</v>
      </c>
      <c r="B1518">
        <v>1</v>
      </c>
      <c r="C1518">
        <v>0.88337603617181604</v>
      </c>
      <c r="D1518">
        <v>1.1493293142426499</v>
      </c>
      <c r="E1518">
        <v>1.95294649585531</v>
      </c>
      <c r="F1518">
        <v>1.42610399397136</v>
      </c>
      <c r="G1518">
        <v>1.68572720422005</v>
      </c>
      <c r="H1518">
        <v>0.95924642049736297</v>
      </c>
      <c r="I1518">
        <v>1.9881838733986399</v>
      </c>
      <c r="J1518">
        <v>2.1505953278070802</v>
      </c>
      <c r="K1518">
        <v>2.0394272795780002</v>
      </c>
      <c r="L1518">
        <v>11539.269900215901</v>
      </c>
      <c r="M1518">
        <v>250</v>
      </c>
      <c r="O1518">
        <v>46.154145706865002</v>
      </c>
      <c r="P1518">
        <v>0.67707922895692996</v>
      </c>
      <c r="Q1518">
        <v>1.5</v>
      </c>
      <c r="R1518">
        <v>0.32803611823113399</v>
      </c>
      <c r="S1518" t="s">
        <v>3392</v>
      </c>
      <c r="T1518" t="s">
        <v>3746</v>
      </c>
      <c r="U1518" t="s">
        <v>3746</v>
      </c>
      <c r="V1518" t="s">
        <v>3746</v>
      </c>
      <c r="W1518" t="s">
        <v>5252</v>
      </c>
      <c r="X1518">
        <v>1</v>
      </c>
      <c r="Y1518" t="s">
        <v>7040</v>
      </c>
      <c r="Z1518" t="s">
        <v>8906</v>
      </c>
      <c r="AA1518">
        <v>1.3973415041741051</v>
      </c>
      <c r="AB1518" t="str">
        <f>HYPERLINK("Melting_Curves/meltCurve_Q5TFK1_EIF3I.pdf", "Melting_Curves/meltCurve_Q5TFK1_EIF3I.pdf")</f>
        <v>Melting_Curves/meltCurve_Q5TFK1_EIF3I.pdf</v>
      </c>
    </row>
    <row r="1519" spans="1:28" x14ac:dyDescent="0.25">
      <c r="A1519" t="s">
        <v>1523</v>
      </c>
      <c r="B1519">
        <v>1</v>
      </c>
      <c r="C1519">
        <v>0.98368007397133606</v>
      </c>
      <c r="D1519">
        <v>1.3157189089227901</v>
      </c>
      <c r="E1519">
        <v>1.5319001386962601</v>
      </c>
      <c r="F1519">
        <v>1.0249653259361999</v>
      </c>
      <c r="G1519">
        <v>1.12233009708738</v>
      </c>
      <c r="H1519">
        <v>0.70258899676375397</v>
      </c>
      <c r="I1519">
        <v>1.04466019417476</v>
      </c>
      <c r="J1519">
        <v>1.0248728617660701</v>
      </c>
      <c r="K1519">
        <v>0.92977346278317197</v>
      </c>
      <c r="L1519">
        <v>2001.9621107333501</v>
      </c>
      <c r="M1519">
        <v>34.277331676569098</v>
      </c>
      <c r="O1519">
        <v>58.2071285853348</v>
      </c>
      <c r="P1519">
        <v>-8.29592876307555E-3</v>
      </c>
      <c r="Q1519">
        <v>0.94365018540721102</v>
      </c>
      <c r="R1519">
        <v>-7.7473413268065006E-2</v>
      </c>
      <c r="S1519" t="s">
        <v>3393</v>
      </c>
      <c r="T1519" t="s">
        <v>3746</v>
      </c>
      <c r="U1519" t="s">
        <v>3746</v>
      </c>
      <c r="V1519" t="s">
        <v>3746</v>
      </c>
      <c r="W1519" t="s">
        <v>5253</v>
      </c>
      <c r="X1519">
        <v>6</v>
      </c>
      <c r="Y1519" t="s">
        <v>7041</v>
      </c>
      <c r="Z1519" t="s">
        <v>8907</v>
      </c>
      <c r="AA1519">
        <v>0.97851445198454745</v>
      </c>
      <c r="AB1519" t="str">
        <f>HYPERLINK("Melting_Curves/meltCurve_Q5VT82_PCDH9.pdf", "Melting_Curves/meltCurve_Q5VT82_PCDH9.pdf")</f>
        <v>Melting_Curves/meltCurve_Q5VT82_PCDH9.pdf</v>
      </c>
    </row>
    <row r="1520" spans="1:28" x14ac:dyDescent="0.25">
      <c r="A1520" t="s">
        <v>1524</v>
      </c>
      <c r="B1520">
        <v>1</v>
      </c>
      <c r="C1520">
        <v>1.0244222689075599</v>
      </c>
      <c r="D1520">
        <v>1.4358806022409001</v>
      </c>
      <c r="E1520">
        <v>1.8003764005602201</v>
      </c>
      <c r="F1520">
        <v>1.25927871148459</v>
      </c>
      <c r="G1520">
        <v>1.4205619747899201</v>
      </c>
      <c r="H1520">
        <v>1.0181197478991599</v>
      </c>
      <c r="I1520">
        <v>1.8268119747899201</v>
      </c>
      <c r="J1520">
        <v>2.0245973389355698</v>
      </c>
      <c r="K1520">
        <v>1.97382703081232</v>
      </c>
      <c r="L1520">
        <v>3259.7945114225599</v>
      </c>
      <c r="M1520">
        <v>72.832046366745502</v>
      </c>
      <c r="O1520">
        <v>44.723982419501603</v>
      </c>
      <c r="P1520">
        <v>0.20355983923142201</v>
      </c>
      <c r="Q1520">
        <v>1.5</v>
      </c>
      <c r="R1520">
        <v>0.32369319580244998</v>
      </c>
      <c r="S1520" t="s">
        <v>3394</v>
      </c>
      <c r="T1520" t="s">
        <v>3746</v>
      </c>
      <c r="U1520" t="s">
        <v>3746</v>
      </c>
      <c r="V1520" t="s">
        <v>3746</v>
      </c>
      <c r="W1520" t="s">
        <v>5254</v>
      </c>
      <c r="X1520">
        <v>11</v>
      </c>
      <c r="Y1520" t="s">
        <v>7042</v>
      </c>
      <c r="Z1520" t="s">
        <v>8908</v>
      </c>
      <c r="AA1520">
        <v>1.4202398444776789</v>
      </c>
      <c r="AB1520" t="str">
        <f>HYPERLINK("Melting_Curves/meltCurve_Q5VTE0_EEF1A1P5.pdf", "Melting_Curves/meltCurve_Q5VTE0_EEF1A1P5.pdf")</f>
        <v>Melting_Curves/meltCurve_Q5VTE0_EEF1A1P5.pdf</v>
      </c>
    </row>
    <row r="1521" spans="1:28" x14ac:dyDescent="0.25">
      <c r="A1521" t="s">
        <v>1525</v>
      </c>
      <c r="B1521">
        <v>1</v>
      </c>
      <c r="C1521">
        <v>0.94128988990107898</v>
      </c>
      <c r="D1521">
        <v>1.1385737439221999</v>
      </c>
      <c r="E1521">
        <v>1.4636729447269901</v>
      </c>
      <c r="F1521">
        <v>0.91650366064941602</v>
      </c>
      <c r="G1521">
        <v>0.96347733750628695</v>
      </c>
      <c r="H1521">
        <v>0.62789917844967302</v>
      </c>
      <c r="I1521">
        <v>0.94120605823506398</v>
      </c>
      <c r="J1521">
        <v>1.05312133236461</v>
      </c>
      <c r="K1521">
        <v>0.89160565584306695</v>
      </c>
      <c r="L1521">
        <v>14298.1614405127</v>
      </c>
      <c r="M1521">
        <v>250</v>
      </c>
      <c r="O1521">
        <v>57.188985357259398</v>
      </c>
      <c r="P1521">
        <v>-0.13282925307361701</v>
      </c>
      <c r="Q1521">
        <v>0.87845807583105395</v>
      </c>
      <c r="R1521">
        <v>0.149315601306132</v>
      </c>
      <c r="S1521" t="s">
        <v>3395</v>
      </c>
      <c r="T1521" t="s">
        <v>3746</v>
      </c>
      <c r="U1521" t="s">
        <v>3746</v>
      </c>
      <c r="V1521" t="s">
        <v>3746</v>
      </c>
      <c r="W1521" t="s">
        <v>5255</v>
      </c>
      <c r="X1521">
        <v>16</v>
      </c>
      <c r="Y1521" t="s">
        <v>7043</v>
      </c>
      <c r="Z1521" t="s">
        <v>8909</v>
      </c>
      <c r="AA1521">
        <v>0.94812451684425481</v>
      </c>
      <c r="AB1521" t="str">
        <f>HYPERLINK("Melting_Curves/meltCurve_Q5VU59_TPM3.pdf", "Melting_Curves/meltCurve_Q5VU59_TPM3.pdf")</f>
        <v>Melting_Curves/meltCurve_Q5VU59_TPM3.pdf</v>
      </c>
    </row>
    <row r="1522" spans="1:28" x14ac:dyDescent="0.25">
      <c r="A1522" t="s">
        <v>1526</v>
      </c>
      <c r="B1522">
        <v>1</v>
      </c>
      <c r="C1522">
        <v>1.2783063748810699</v>
      </c>
      <c r="D1522">
        <v>1.8295908658420601</v>
      </c>
      <c r="E1522">
        <v>2.2625118934348198</v>
      </c>
      <c r="F1522">
        <v>2.46194100856327</v>
      </c>
      <c r="G1522">
        <v>2.5909609895337802</v>
      </c>
      <c r="H1522">
        <v>0.90240723120837296</v>
      </c>
      <c r="I1522">
        <v>2.8267364414843001</v>
      </c>
      <c r="J1522">
        <v>2.39914367269267</v>
      </c>
      <c r="K1522">
        <v>2.67507136060894</v>
      </c>
      <c r="S1522" t="s">
        <v>3396</v>
      </c>
      <c r="T1522" t="s">
        <v>3746</v>
      </c>
      <c r="U1522" t="s">
        <v>3747</v>
      </c>
      <c r="V1522" t="s">
        <v>3746</v>
      </c>
      <c r="W1522" t="s">
        <v>5256</v>
      </c>
      <c r="X1522">
        <v>2</v>
      </c>
      <c r="Y1522" t="s">
        <v>7044</v>
      </c>
      <c r="Z1522" t="s">
        <v>8910</v>
      </c>
      <c r="AB1522" t="str">
        <f>HYPERLINK("Melting_Curves/meltCurve_Q5VUC0_OLAH.pdf", "Melting_Curves/meltCurve_Q5VUC0_OLAH.pdf")</f>
        <v>Melting_Curves/meltCurve_Q5VUC0_OLAH.pdf</v>
      </c>
    </row>
    <row r="1523" spans="1:28" x14ac:dyDescent="0.25">
      <c r="A1523" t="s">
        <v>1527</v>
      </c>
      <c r="B1523">
        <v>1</v>
      </c>
      <c r="C1523">
        <v>1.0675883497583301</v>
      </c>
      <c r="D1523">
        <v>1.2501726194212499</v>
      </c>
      <c r="E1523">
        <v>1.30236645533865</v>
      </c>
      <c r="F1523">
        <v>0.93034021718661697</v>
      </c>
      <c r="G1523">
        <v>1.08491306258239</v>
      </c>
      <c r="H1523">
        <v>0.54453581068357304</v>
      </c>
      <c r="I1523">
        <v>0.864148515472977</v>
      </c>
      <c r="J1523">
        <v>0.86559224154164804</v>
      </c>
      <c r="K1523">
        <v>0.79998116879040904</v>
      </c>
      <c r="L1523">
        <v>4194.52348133139</v>
      </c>
      <c r="M1523">
        <v>71.606726240884399</v>
      </c>
      <c r="O1523">
        <v>58.531582966965203</v>
      </c>
      <c r="P1523">
        <v>-6.9679463591566501E-2</v>
      </c>
      <c r="Q1523">
        <v>0.77217508988458705</v>
      </c>
      <c r="R1523">
        <v>0.43608062937672099</v>
      </c>
      <c r="S1523" t="s">
        <v>3397</v>
      </c>
      <c r="T1523" t="s">
        <v>3746</v>
      </c>
      <c r="U1523" t="s">
        <v>3746</v>
      </c>
      <c r="V1523" t="s">
        <v>3746</v>
      </c>
      <c r="W1523" t="s">
        <v>5257</v>
      </c>
      <c r="X1523">
        <v>6</v>
      </c>
      <c r="Y1523" t="s">
        <v>7045</v>
      </c>
      <c r="Z1523" t="s">
        <v>8911</v>
      </c>
      <c r="AA1523">
        <v>0.9135397081705976</v>
      </c>
      <c r="AB1523" t="str">
        <f>HYPERLINK("Melting_Curves/meltCurve_Q5VY30_RBP4.pdf", "Melting_Curves/meltCurve_Q5VY30_RBP4.pdf")</f>
        <v>Melting_Curves/meltCurve_Q5VY30_RBP4.pdf</v>
      </c>
    </row>
    <row r="1524" spans="1:28" x14ac:dyDescent="0.25">
      <c r="A1524" t="s">
        <v>1528</v>
      </c>
      <c r="B1524">
        <v>1</v>
      </c>
      <c r="C1524">
        <v>0.96038117616343599</v>
      </c>
      <c r="D1524">
        <v>1.2292931270804801</v>
      </c>
      <c r="E1524">
        <v>1.6565498335617801</v>
      </c>
      <c r="F1524">
        <v>0.95698714183147304</v>
      </c>
      <c r="G1524">
        <v>1.54963775210495</v>
      </c>
      <c r="H1524">
        <v>0.74283662946282902</v>
      </c>
      <c r="I1524">
        <v>1.3277201227074</v>
      </c>
      <c r="J1524">
        <v>1.0956203903139501</v>
      </c>
      <c r="K1524">
        <v>1.17812153253704</v>
      </c>
      <c r="L1524">
        <v>11126.563868401099</v>
      </c>
      <c r="M1524">
        <v>250</v>
      </c>
      <c r="O1524">
        <v>44.503403395596202</v>
      </c>
      <c r="P1524">
        <v>0.30489662617644703</v>
      </c>
      <c r="Q1524">
        <v>1.21710301993266</v>
      </c>
      <c r="R1524">
        <v>0.124398658333817</v>
      </c>
      <c r="S1524" t="s">
        <v>3398</v>
      </c>
      <c r="T1524" t="s">
        <v>3746</v>
      </c>
      <c r="U1524" t="s">
        <v>3746</v>
      </c>
      <c r="V1524" t="s">
        <v>3746</v>
      </c>
      <c r="W1524" t="s">
        <v>5258</v>
      </c>
      <c r="X1524">
        <v>2</v>
      </c>
      <c r="Y1524" t="s">
        <v>7046</v>
      </c>
      <c r="Z1524" t="s">
        <v>8912</v>
      </c>
      <c r="AA1524">
        <v>1.1844753400995871</v>
      </c>
      <c r="AB1524" t="str">
        <f>HYPERLINK("Melting_Curves/meltCurve_Q5VYL6_CFHR5.pdf", "Melting_Curves/meltCurve_Q5VYL6_CFHR5.pdf")</f>
        <v>Melting_Curves/meltCurve_Q5VYL6_CFHR5.pdf</v>
      </c>
    </row>
    <row r="1525" spans="1:28" x14ac:dyDescent="0.25">
      <c r="A1525" t="s">
        <v>1529</v>
      </c>
      <c r="B1525">
        <v>1</v>
      </c>
      <c r="C1525">
        <v>1.1168022325834699</v>
      </c>
      <c r="D1525">
        <v>1.5607664295681201</v>
      </c>
      <c r="E1525">
        <v>1.8380242543874601</v>
      </c>
      <c r="F1525">
        <v>1.0874201635866501</v>
      </c>
      <c r="G1525">
        <v>1.3820916856685801</v>
      </c>
      <c r="H1525">
        <v>0.930946465643399</v>
      </c>
      <c r="I1525">
        <v>1.2402863333673699</v>
      </c>
      <c r="J1525">
        <v>1.2345006749934799</v>
      </c>
      <c r="K1525">
        <v>1.12629751897356</v>
      </c>
      <c r="L1525">
        <v>10744.318322958299</v>
      </c>
      <c r="M1525">
        <v>250</v>
      </c>
      <c r="O1525">
        <v>42.974522962789599</v>
      </c>
      <c r="P1525">
        <v>0.43636564588117399</v>
      </c>
      <c r="Q1525">
        <v>1.30004168763287</v>
      </c>
      <c r="R1525">
        <v>0.146585156483723</v>
      </c>
      <c r="S1525" t="s">
        <v>3399</v>
      </c>
      <c r="T1525" t="s">
        <v>3746</v>
      </c>
      <c r="U1525" t="s">
        <v>3746</v>
      </c>
      <c r="V1525" t="s">
        <v>3746</v>
      </c>
      <c r="W1525" t="s">
        <v>5259</v>
      </c>
      <c r="X1525">
        <v>2</v>
      </c>
      <c r="Y1525" t="s">
        <v>7047</v>
      </c>
      <c r="Z1525" t="s">
        <v>8913</v>
      </c>
      <c r="AA1525">
        <v>1.2702421870417551</v>
      </c>
      <c r="AB1525" t="str">
        <f>HYPERLINK("Melting_Curves/meltCurve_Q5W0A2_ITM2B.pdf", "Melting_Curves/meltCurve_Q5W0A2_ITM2B.pdf")</f>
        <v>Melting_Curves/meltCurve_Q5W0A2_ITM2B.pdf</v>
      </c>
    </row>
    <row r="1526" spans="1:28" x14ac:dyDescent="0.25">
      <c r="A1526" t="s">
        <v>1530</v>
      </c>
      <c r="B1526">
        <v>1</v>
      </c>
      <c r="C1526">
        <v>1.0755399587569201</v>
      </c>
      <c r="D1526">
        <v>1.5162801635251999</v>
      </c>
      <c r="E1526">
        <v>2.46409319489165</v>
      </c>
      <c r="F1526">
        <v>1.8253681125863801</v>
      </c>
      <c r="G1526">
        <v>2.7294598603523701</v>
      </c>
      <c r="H1526">
        <v>1.7126008465685001</v>
      </c>
      <c r="I1526">
        <v>2.9340472486523601</v>
      </c>
      <c r="J1526">
        <v>3.0089360008682799</v>
      </c>
      <c r="K1526">
        <v>2.7562316848160302</v>
      </c>
      <c r="L1526">
        <v>10799.0520780386</v>
      </c>
      <c r="M1526">
        <v>250</v>
      </c>
      <c r="O1526">
        <v>43.193444066877298</v>
      </c>
      <c r="P1526">
        <v>0.72348942600461996</v>
      </c>
      <c r="Q1526">
        <v>1.5</v>
      </c>
      <c r="R1526">
        <v>-0.60241212154489399</v>
      </c>
      <c r="S1526" t="s">
        <v>3400</v>
      </c>
      <c r="T1526" t="s">
        <v>3746</v>
      </c>
      <c r="U1526" t="s">
        <v>3746</v>
      </c>
      <c r="V1526" t="s">
        <v>3746</v>
      </c>
      <c r="W1526" t="s">
        <v>5260</v>
      </c>
      <c r="X1526">
        <v>3</v>
      </c>
      <c r="Y1526" t="s">
        <v>7048</v>
      </c>
      <c r="Z1526" t="s">
        <v>8914</v>
      </c>
      <c r="AA1526">
        <v>1.4466919571222669</v>
      </c>
      <c r="AB1526" t="str">
        <f>HYPERLINK("Melting_Curves/meltCurve_Q5W0H4_TPT1.pdf", "Melting_Curves/meltCurve_Q5W0H4_TPT1.pdf")</f>
        <v>Melting_Curves/meltCurve_Q5W0H4_TPT1.pdf</v>
      </c>
    </row>
    <row r="1527" spans="1:28" x14ac:dyDescent="0.25">
      <c r="A1527" t="s">
        <v>1531</v>
      </c>
      <c r="B1527">
        <v>1</v>
      </c>
      <c r="C1527">
        <v>0.96384751816127701</v>
      </c>
      <c r="D1527">
        <v>1.06817463981146</v>
      </c>
      <c r="E1527">
        <v>1.2624213416263801</v>
      </c>
      <c r="F1527">
        <v>1.1001725017614601</v>
      </c>
      <c r="G1527">
        <v>1.1625889841832899</v>
      </c>
      <c r="H1527">
        <v>0.46485580310503199</v>
      </c>
      <c r="I1527">
        <v>0.97164654146116303</v>
      </c>
      <c r="J1527">
        <v>0.86768386015209298</v>
      </c>
      <c r="K1527">
        <v>0.78515027090065403</v>
      </c>
      <c r="L1527">
        <v>3253.21867920352</v>
      </c>
      <c r="M1527">
        <v>55.512961107679203</v>
      </c>
      <c r="O1527">
        <v>58.526960402864901</v>
      </c>
      <c r="P1527">
        <v>-5.14464992572682E-2</v>
      </c>
      <c r="Q1527">
        <v>0.78304124080782</v>
      </c>
      <c r="R1527">
        <v>0.37113991299744098</v>
      </c>
      <c r="S1527" t="s">
        <v>3401</v>
      </c>
      <c r="T1527" t="s">
        <v>3746</v>
      </c>
      <c r="U1527" t="s">
        <v>3746</v>
      </c>
      <c r="V1527" t="s">
        <v>3746</v>
      </c>
      <c r="W1527" t="s">
        <v>5261</v>
      </c>
      <c r="X1527">
        <v>5</v>
      </c>
      <c r="Y1527" t="s">
        <v>6513</v>
      </c>
      <c r="Z1527" t="s">
        <v>8915</v>
      </c>
      <c r="AA1527">
        <v>0.91802954594709085</v>
      </c>
      <c r="AB1527" t="str">
        <f>HYPERLINK("Melting_Curves/meltCurve_Q5Y7A7_HLA_DRB1.pdf", "Melting_Curves/meltCurve_Q5Y7A7_HLA_DRB1.pdf")</f>
        <v>Melting_Curves/meltCurve_Q5Y7A7_HLA_DRB1.pdf</v>
      </c>
    </row>
    <row r="1528" spans="1:28" x14ac:dyDescent="0.25">
      <c r="A1528" t="s">
        <v>1532</v>
      </c>
      <c r="B1528">
        <v>1</v>
      </c>
      <c r="C1528">
        <v>1.0198584187348201</v>
      </c>
      <c r="D1528">
        <v>1.2254393546528399</v>
      </c>
      <c r="E1528">
        <v>1.49967074124377</v>
      </c>
      <c r="F1528">
        <v>1.0938387455241401</v>
      </c>
      <c r="G1528">
        <v>1.19868708070955</v>
      </c>
      <c r="H1528">
        <v>1.2689838251636001</v>
      </c>
      <c r="I1528">
        <v>2.12906943244022</v>
      </c>
      <c r="J1528">
        <v>2.4188171379182601</v>
      </c>
      <c r="K1528">
        <v>2.2017121455323698</v>
      </c>
      <c r="L1528">
        <v>769.32401415445997</v>
      </c>
      <c r="M1528">
        <v>16.030025630374301</v>
      </c>
      <c r="O1528">
        <v>47.264429405263101</v>
      </c>
      <c r="P1528">
        <v>4.23978291960872E-2</v>
      </c>
      <c r="Q1528">
        <v>1.5</v>
      </c>
      <c r="R1528">
        <v>0.22628978060574401</v>
      </c>
      <c r="S1528" t="s">
        <v>3402</v>
      </c>
      <c r="T1528" t="s">
        <v>3746</v>
      </c>
      <c r="U1528" t="s">
        <v>3746</v>
      </c>
      <c r="V1528" t="s">
        <v>3746</v>
      </c>
      <c r="W1528" t="s">
        <v>5262</v>
      </c>
      <c r="X1528">
        <v>11</v>
      </c>
      <c r="Y1528" t="s">
        <v>7049</v>
      </c>
      <c r="Z1528" t="s">
        <v>8916</v>
      </c>
      <c r="AA1528">
        <v>1.355521554213525</v>
      </c>
      <c r="AB1528" t="str">
        <f>HYPERLINK("Melting_Curves/meltCurve_Q66K79_CPZ.pdf", "Melting_Curves/meltCurve_Q66K79_CPZ.pdf")</f>
        <v>Melting_Curves/meltCurve_Q66K79_CPZ.pdf</v>
      </c>
    </row>
    <row r="1529" spans="1:28" x14ac:dyDescent="0.25">
      <c r="A1529" t="s">
        <v>1533</v>
      </c>
      <c r="B1529">
        <v>1</v>
      </c>
      <c r="C1529">
        <v>1.15369533714091</v>
      </c>
      <c r="D1529">
        <v>1.5834114738726499</v>
      </c>
      <c r="E1529">
        <v>2.0494416503281898</v>
      </c>
      <c r="F1529">
        <v>1.5980734805216901</v>
      </c>
      <c r="G1529">
        <v>1.84835052425198</v>
      </c>
      <c r="H1529">
        <v>1.10442417526213</v>
      </c>
      <c r="I1529">
        <v>1.96061716818686</v>
      </c>
      <c r="J1529">
        <v>2.10101440627398</v>
      </c>
      <c r="K1529">
        <v>2.11925667036058</v>
      </c>
      <c r="L1529">
        <v>10759.8496541445</v>
      </c>
      <c r="M1529">
        <v>250</v>
      </c>
      <c r="O1529">
        <v>43.036626210860497</v>
      </c>
      <c r="P1529">
        <v>0.72612538452544295</v>
      </c>
      <c r="Q1529">
        <v>1.5</v>
      </c>
      <c r="R1529">
        <v>8.2365002995616998E-2</v>
      </c>
      <c r="S1529" t="s">
        <v>3403</v>
      </c>
      <c r="T1529" t="s">
        <v>3746</v>
      </c>
      <c r="U1529" t="s">
        <v>3746</v>
      </c>
      <c r="V1529" t="s">
        <v>3746</v>
      </c>
      <c r="W1529" t="s">
        <v>5263</v>
      </c>
      <c r="X1529">
        <v>7</v>
      </c>
      <c r="Y1529" t="s">
        <v>7050</v>
      </c>
      <c r="Z1529" t="s">
        <v>8917</v>
      </c>
      <c r="AA1529">
        <v>1.449305589639166</v>
      </c>
      <c r="AB1529" t="str">
        <f>HYPERLINK("Melting_Curves/meltCurve_Q68CR9_DKFZp781B11202.pdf", "Melting_Curves/meltCurve_Q68CR9_DKFZp781B11202.pdf")</f>
        <v>Melting_Curves/meltCurve_Q68CR9_DKFZp781B11202.pdf</v>
      </c>
    </row>
    <row r="1530" spans="1:28" x14ac:dyDescent="0.25">
      <c r="A1530" t="s">
        <v>1534</v>
      </c>
      <c r="B1530">
        <v>1</v>
      </c>
      <c r="C1530">
        <v>1.0311289245157</v>
      </c>
      <c r="D1530">
        <v>1.2583166332665301</v>
      </c>
      <c r="E1530">
        <v>1.40521042084168</v>
      </c>
      <c r="F1530">
        <v>1.1065464261857001</v>
      </c>
      <c r="G1530">
        <v>1.29812959251837</v>
      </c>
      <c r="H1530">
        <v>0.681629926519706</v>
      </c>
      <c r="I1530">
        <v>1.04081496325985</v>
      </c>
      <c r="J1530">
        <v>1.03814295257181</v>
      </c>
      <c r="K1530">
        <v>0.95384101536406096</v>
      </c>
      <c r="L1530">
        <v>1131.21375275583</v>
      </c>
      <c r="M1530">
        <v>12.6872678953491</v>
      </c>
      <c r="Q1530">
        <v>0</v>
      </c>
      <c r="R1530">
        <v>-0.17458192607355999</v>
      </c>
      <c r="S1530" t="s">
        <v>3404</v>
      </c>
      <c r="T1530" t="s">
        <v>3746</v>
      </c>
      <c r="U1530" t="s">
        <v>3746</v>
      </c>
      <c r="V1530" t="s">
        <v>3746</v>
      </c>
      <c r="W1530" t="s">
        <v>5264</v>
      </c>
      <c r="X1530">
        <v>5</v>
      </c>
      <c r="Y1530" t="s">
        <v>7051</v>
      </c>
      <c r="Z1530" t="s">
        <v>8918</v>
      </c>
      <c r="AA1530">
        <v>0.99605558962457763</v>
      </c>
      <c r="AB1530" t="str">
        <f>HYPERLINK("Melting_Curves/meltCurve_Q68D85_NCR3LG1.pdf", "Melting_Curves/meltCurve_Q68D85_NCR3LG1.pdf")</f>
        <v>Melting_Curves/meltCurve_Q68D85_NCR3LG1.pdf</v>
      </c>
    </row>
    <row r="1531" spans="1:28" x14ac:dyDescent="0.25">
      <c r="A1531" t="s">
        <v>1535</v>
      </c>
      <c r="B1531">
        <v>1</v>
      </c>
      <c r="C1531">
        <v>0.98045893132246797</v>
      </c>
      <c r="D1531">
        <v>1.36819914051731</v>
      </c>
      <c r="E1531">
        <v>1.81602205465013</v>
      </c>
      <c r="F1531">
        <v>1.3134679315657201</v>
      </c>
      <c r="G1531">
        <v>1.4780669747830999</v>
      </c>
      <c r="H1531">
        <v>0.80400551366253104</v>
      </c>
      <c r="I1531">
        <v>1.3131435984756299</v>
      </c>
      <c r="J1531">
        <v>1.24260115138247</v>
      </c>
      <c r="K1531">
        <v>1.1469228898078301</v>
      </c>
      <c r="L1531">
        <v>11076.4850626559</v>
      </c>
      <c r="M1531">
        <v>250</v>
      </c>
      <c r="O1531">
        <v>44.3031201356442</v>
      </c>
      <c r="P1531">
        <v>0.43776015263434198</v>
      </c>
      <c r="Q1531">
        <v>1.310306144066</v>
      </c>
      <c r="R1531">
        <v>0.22154387002655801</v>
      </c>
      <c r="S1531" t="s">
        <v>3405</v>
      </c>
      <c r="T1531" t="s">
        <v>3746</v>
      </c>
      <c r="U1531" t="s">
        <v>3746</v>
      </c>
      <c r="V1531" t="s">
        <v>3746</v>
      </c>
      <c r="W1531" t="s">
        <v>5265</v>
      </c>
      <c r="X1531">
        <v>5</v>
      </c>
      <c r="Y1531" t="s">
        <v>7052</v>
      </c>
      <c r="Z1531" t="s">
        <v>8919</v>
      </c>
      <c r="AA1531">
        <v>1.265743358636702</v>
      </c>
      <c r="AB1531" t="str">
        <f>HYPERLINK("Melting_Curves/meltCurve_Q6EMK4_VASN.pdf", "Melting_Curves/meltCurve_Q6EMK4_VASN.pdf")</f>
        <v>Melting_Curves/meltCurve_Q6EMK4_VASN.pdf</v>
      </c>
    </row>
    <row r="1532" spans="1:28" x14ac:dyDescent="0.25">
      <c r="A1532" t="s">
        <v>1536</v>
      </c>
      <c r="B1532">
        <v>1</v>
      </c>
      <c r="C1532">
        <v>1.1491607311333001</v>
      </c>
      <c r="D1532">
        <v>1.70103573761314</v>
      </c>
      <c r="E1532">
        <v>2.2882647507075999</v>
      </c>
      <c r="F1532">
        <v>1.7622054264771401</v>
      </c>
      <c r="G1532">
        <v>1.88371538469514</v>
      </c>
      <c r="H1532">
        <v>1.1619130560998601</v>
      </c>
      <c r="I1532">
        <v>1.92311281142111</v>
      </c>
      <c r="J1532">
        <v>1.72021606378236</v>
      </c>
      <c r="K1532">
        <v>1.6543808901744901</v>
      </c>
      <c r="L1532">
        <v>10761.6924910704</v>
      </c>
      <c r="M1532">
        <v>250</v>
      </c>
      <c r="O1532">
        <v>43.044015331962498</v>
      </c>
      <c r="P1532">
        <v>0.72600104452127301</v>
      </c>
      <c r="Q1532">
        <v>1.5</v>
      </c>
      <c r="R1532">
        <v>0.14936385029973401</v>
      </c>
      <c r="S1532" t="s">
        <v>3406</v>
      </c>
      <c r="T1532" t="s">
        <v>3746</v>
      </c>
      <c r="U1532" t="s">
        <v>3746</v>
      </c>
      <c r="V1532" t="s">
        <v>3746</v>
      </c>
      <c r="W1532" t="s">
        <v>5266</v>
      </c>
      <c r="X1532">
        <v>3</v>
      </c>
      <c r="Y1532" t="s">
        <v>7053</v>
      </c>
      <c r="Z1532" t="s">
        <v>8920</v>
      </c>
      <c r="AA1532">
        <v>1.4491827273764311</v>
      </c>
      <c r="AB1532" t="str">
        <f>HYPERLINK("Melting_Curves/meltCurve_Q6GMV3_PTRHD1.pdf", "Melting_Curves/meltCurve_Q6GMV3_PTRHD1.pdf")</f>
        <v>Melting_Curves/meltCurve_Q6GMV3_PTRHD1.pdf</v>
      </c>
    </row>
    <row r="1533" spans="1:28" x14ac:dyDescent="0.25">
      <c r="A1533" t="s">
        <v>1537</v>
      </c>
      <c r="B1533">
        <v>1</v>
      </c>
      <c r="C1533">
        <v>1.13181071801761</v>
      </c>
      <c r="D1533">
        <v>1.3022540677713099</v>
      </c>
      <c r="E1533">
        <v>1.7702642185400801</v>
      </c>
      <c r="F1533">
        <v>1.23815494849978</v>
      </c>
      <c r="G1533">
        <v>1.53390058217644</v>
      </c>
      <c r="H1533">
        <v>0.884221525600836</v>
      </c>
      <c r="I1533">
        <v>1.42964621585311</v>
      </c>
      <c r="J1533">
        <v>1.3670398566950299</v>
      </c>
      <c r="K1533">
        <v>1.1796686072548099</v>
      </c>
      <c r="L1533">
        <v>2222.5100845289398</v>
      </c>
      <c r="M1533">
        <v>51.314995257861902</v>
      </c>
      <c r="O1533">
        <v>43.245508120319698</v>
      </c>
      <c r="P1533">
        <v>0.100980314987375</v>
      </c>
      <c r="Q1533">
        <v>1.3404026919555001</v>
      </c>
      <c r="R1533">
        <v>0.21171495582487099</v>
      </c>
      <c r="S1533" t="s">
        <v>3407</v>
      </c>
      <c r="T1533" t="s">
        <v>3746</v>
      </c>
      <c r="U1533" t="s">
        <v>3746</v>
      </c>
      <c r="V1533" t="s">
        <v>3746</v>
      </c>
      <c r="W1533" t="s">
        <v>5267</v>
      </c>
      <c r="X1533">
        <v>4</v>
      </c>
      <c r="Y1533" t="s">
        <v>7054</v>
      </c>
      <c r="Z1533" t="s">
        <v>8921</v>
      </c>
      <c r="AA1533">
        <v>1.302102955864489</v>
      </c>
      <c r="AB1533" t="str">
        <f>HYPERLINK("Melting_Curves/meltCurve_Q6ICJ4_Em_AP000351_3.pdf", "Melting_Curves/meltCurve_Q6ICJ4_Em_AP000351_3.pdf")</f>
        <v>Melting_Curves/meltCurve_Q6ICJ4_Em_AP000351_3.pdf</v>
      </c>
    </row>
    <row r="1534" spans="1:28" x14ac:dyDescent="0.25">
      <c r="A1534" t="s">
        <v>1538</v>
      </c>
      <c r="B1534">
        <v>1</v>
      </c>
      <c r="C1534">
        <v>1.2204337227872599</v>
      </c>
      <c r="D1534">
        <v>2.2757838110447999</v>
      </c>
      <c r="E1534">
        <v>2.2119021602084601</v>
      </c>
      <c r="F1534">
        <v>2.26625759995517</v>
      </c>
      <c r="G1534">
        <v>2.5993948054131302</v>
      </c>
      <c r="H1534">
        <v>1.2101510184640401</v>
      </c>
      <c r="I1534">
        <v>1.6504160712784699</v>
      </c>
      <c r="J1534">
        <v>2.1801014261298399</v>
      </c>
      <c r="K1534">
        <v>1.9934997618447201</v>
      </c>
      <c r="L1534">
        <v>1.0000000000000001E-5</v>
      </c>
      <c r="M1534">
        <v>26.230104044169799</v>
      </c>
      <c r="Q1534">
        <v>1.5</v>
      </c>
      <c r="R1534">
        <v>-0.47445535176523501</v>
      </c>
      <c r="S1534" t="s">
        <v>3408</v>
      </c>
      <c r="T1534" t="s">
        <v>3746</v>
      </c>
      <c r="U1534" t="s">
        <v>3746</v>
      </c>
      <c r="V1534" t="s">
        <v>3746</v>
      </c>
      <c r="W1534" t="s">
        <v>5268</v>
      </c>
      <c r="X1534">
        <v>1</v>
      </c>
      <c r="Y1534" t="s">
        <v>7055</v>
      </c>
      <c r="Z1534" t="s">
        <v>8922</v>
      </c>
      <c r="AA1534">
        <v>1.499999999997971</v>
      </c>
      <c r="AB1534" t="str">
        <f>HYPERLINK("Melting_Curves/meltCurve_Q6NSI1_ANKRD26P1.pdf", "Melting_Curves/meltCurve_Q6NSI1_ANKRD26P1.pdf")</f>
        <v>Melting_Curves/meltCurve_Q6NSI1_ANKRD26P1.pdf</v>
      </c>
    </row>
    <row r="1535" spans="1:28" x14ac:dyDescent="0.25">
      <c r="A1535" t="s">
        <v>1539</v>
      </c>
      <c r="B1535">
        <v>1</v>
      </c>
      <c r="C1535">
        <v>0.71939822201960302</v>
      </c>
      <c r="D1535">
        <v>0.72047282555602599</v>
      </c>
      <c r="E1535">
        <v>0.43703800188869701</v>
      </c>
      <c r="F1535">
        <v>0.42414275945162699</v>
      </c>
      <c r="G1535">
        <v>0.33120583542283999</v>
      </c>
      <c r="H1535">
        <v>0.36744928196945498</v>
      </c>
      <c r="I1535">
        <v>0.379693249535967</v>
      </c>
      <c r="J1535">
        <v>0.28570451659122698</v>
      </c>
      <c r="K1535">
        <v>0.30467615357061401</v>
      </c>
      <c r="L1535">
        <v>659.341024331217</v>
      </c>
      <c r="M1535">
        <v>14.3769280792398</v>
      </c>
      <c r="N1535">
        <v>49.335893931196601</v>
      </c>
      <c r="O1535">
        <v>45.001169812296197</v>
      </c>
      <c r="P1535">
        <v>-5.4448652944070301E-2</v>
      </c>
      <c r="Q1535">
        <v>0.31836355666286598</v>
      </c>
      <c r="R1535">
        <v>0.94513578234376505</v>
      </c>
      <c r="S1535" t="s">
        <v>3409</v>
      </c>
      <c r="T1535" t="s">
        <v>3746</v>
      </c>
      <c r="U1535" t="s">
        <v>3746</v>
      </c>
      <c r="V1535" t="s">
        <v>3746</v>
      </c>
      <c r="W1535" t="s">
        <v>5269</v>
      </c>
      <c r="X1535">
        <v>3</v>
      </c>
      <c r="Y1535" t="s">
        <v>7056</v>
      </c>
      <c r="Z1535" t="s">
        <v>8923</v>
      </c>
      <c r="AA1535">
        <v>0.47354014161771452</v>
      </c>
      <c r="AB1535" t="str">
        <f>HYPERLINK("Melting_Curves/meltCurve_Q6P163_APOC2.pdf", "Melting_Curves/meltCurve_Q6P163_APOC2.pdf")</f>
        <v>Melting_Curves/meltCurve_Q6P163_APOC2.pdf</v>
      </c>
    </row>
    <row r="1536" spans="1:28" x14ac:dyDescent="0.25">
      <c r="A1536" t="s">
        <v>1540</v>
      </c>
      <c r="B1536">
        <v>1</v>
      </c>
      <c r="C1536">
        <v>0.32779708130646301</v>
      </c>
      <c r="D1536">
        <v>1.7846768589298101</v>
      </c>
      <c r="E1536">
        <v>1.10778318276581</v>
      </c>
      <c r="F1536">
        <v>1.01570535093815</v>
      </c>
      <c r="G1536">
        <v>0.79451007644197402</v>
      </c>
      <c r="H1536">
        <v>0.39110493398193202</v>
      </c>
      <c r="I1536">
        <v>0.42293259207783201</v>
      </c>
      <c r="J1536">
        <v>0.92036136205698404</v>
      </c>
      <c r="K1536">
        <v>0.84378040305767898</v>
      </c>
      <c r="L1536">
        <v>14232.0453396715</v>
      </c>
      <c r="M1536">
        <v>250</v>
      </c>
      <c r="O1536">
        <v>56.924538352760599</v>
      </c>
      <c r="P1536">
        <v>-0.39027015161504303</v>
      </c>
      <c r="Q1536">
        <v>0.64454482912528999</v>
      </c>
      <c r="R1536">
        <v>0.21294211040719699</v>
      </c>
      <c r="S1536" t="s">
        <v>3410</v>
      </c>
      <c r="T1536" t="s">
        <v>3746</v>
      </c>
      <c r="U1536" t="s">
        <v>3746</v>
      </c>
      <c r="V1536" t="s">
        <v>3746</v>
      </c>
      <c r="W1536" t="s">
        <v>5270</v>
      </c>
      <c r="X1536">
        <v>3</v>
      </c>
      <c r="Y1536" t="s">
        <v>7057</v>
      </c>
      <c r="Z1536" t="s">
        <v>8924</v>
      </c>
      <c r="AA1536">
        <v>0.84515399521452339</v>
      </c>
      <c r="AB1536" t="str">
        <f>HYPERLINK("Melting_Curves/meltCurve_Q6P179_3_ERAP2.pdf", "Melting_Curves/meltCurve_Q6P179_3_ERAP2.pdf")</f>
        <v>Melting_Curves/meltCurve_Q6P179_3_ERAP2.pdf</v>
      </c>
    </row>
    <row r="1537" spans="1:28" x14ac:dyDescent="0.25">
      <c r="A1537" t="s">
        <v>1541</v>
      </c>
      <c r="B1537">
        <v>1</v>
      </c>
      <c r="C1537">
        <v>1.1409243750792999</v>
      </c>
      <c r="D1537">
        <v>1.3903057987565</v>
      </c>
      <c r="E1537">
        <v>1.61321532800406</v>
      </c>
      <c r="F1537">
        <v>1.1149917523157</v>
      </c>
      <c r="G1537">
        <v>1.2222909529247601</v>
      </c>
      <c r="H1537">
        <v>0.72551072198959499</v>
      </c>
      <c r="I1537">
        <v>1.08713995685827</v>
      </c>
      <c r="J1537">
        <v>1.1014940997335401</v>
      </c>
      <c r="K1537">
        <v>1.0144968912574499</v>
      </c>
      <c r="L1537">
        <v>10636.133362746799</v>
      </c>
      <c r="M1537">
        <v>250</v>
      </c>
      <c r="O1537">
        <v>42.541810862735403</v>
      </c>
      <c r="P1537">
        <v>0.23312460527783499</v>
      </c>
      <c r="Q1537">
        <v>1.15868068573261</v>
      </c>
      <c r="R1537">
        <v>4.4285203592101301E-2</v>
      </c>
      <c r="S1537" t="s">
        <v>3411</v>
      </c>
      <c r="T1537" t="s">
        <v>3746</v>
      </c>
      <c r="U1537" t="s">
        <v>3746</v>
      </c>
      <c r="V1537" t="s">
        <v>3746</v>
      </c>
      <c r="W1537" t="s">
        <v>5271</v>
      </c>
      <c r="X1537">
        <v>5</v>
      </c>
      <c r="Y1537" t="s">
        <v>7058</v>
      </c>
      <c r="Z1537" t="s">
        <v>8925</v>
      </c>
      <c r="AA1537">
        <v>1.1452098939798481</v>
      </c>
      <c r="AB1537" t="str">
        <f>HYPERLINK("Melting_Curves/meltCurve_Q6P4E1_2_CASC4.pdf", "Melting_Curves/meltCurve_Q6P4E1_2_CASC4.pdf")</f>
        <v>Melting_Curves/meltCurve_Q6P4E1_2_CASC4.pdf</v>
      </c>
    </row>
    <row r="1538" spans="1:28" x14ac:dyDescent="0.25">
      <c r="A1538" t="s">
        <v>1542</v>
      </c>
      <c r="B1538">
        <v>1</v>
      </c>
      <c r="C1538">
        <v>1.12024609953013</v>
      </c>
      <c r="D1538">
        <v>1.6740219620466801</v>
      </c>
      <c r="E1538">
        <v>1.9809973780535299</v>
      </c>
      <c r="F1538">
        <v>1.4987928662288099</v>
      </c>
      <c r="G1538">
        <v>1.62365982191532</v>
      </c>
      <c r="H1538">
        <v>1.00987772903092</v>
      </c>
      <c r="I1538">
        <v>1.7290568780665101</v>
      </c>
      <c r="J1538">
        <v>1.69141507229823</v>
      </c>
      <c r="K1538">
        <v>1.56187534072324</v>
      </c>
      <c r="L1538">
        <v>10774.3342093514</v>
      </c>
      <c r="M1538">
        <v>250</v>
      </c>
      <c r="O1538">
        <v>43.094578913294498</v>
      </c>
      <c r="P1538">
        <v>0.72514921456148695</v>
      </c>
      <c r="Q1538">
        <v>1.5</v>
      </c>
      <c r="R1538">
        <v>0.39179022225696802</v>
      </c>
      <c r="S1538" t="s">
        <v>3412</v>
      </c>
      <c r="T1538" t="s">
        <v>3746</v>
      </c>
      <c r="U1538" t="s">
        <v>3746</v>
      </c>
      <c r="V1538" t="s">
        <v>3746</v>
      </c>
      <c r="W1538" t="s">
        <v>5272</v>
      </c>
      <c r="X1538">
        <v>1</v>
      </c>
      <c r="Y1538" t="s">
        <v>7059</v>
      </c>
      <c r="Z1538" t="s">
        <v>8926</v>
      </c>
      <c r="AA1538">
        <v>1.44833990178925</v>
      </c>
      <c r="AB1538" t="str">
        <f>HYPERLINK("Melting_Curves/meltCurve_Q6P5S2_C6orf58.pdf", "Melting_Curves/meltCurve_Q6P5S2_C6orf58.pdf")</f>
        <v>Melting_Curves/meltCurve_Q6P5S2_C6orf58.pdf</v>
      </c>
    </row>
    <row r="1539" spans="1:28" x14ac:dyDescent="0.25">
      <c r="A1539" t="s">
        <v>1543</v>
      </c>
      <c r="B1539">
        <v>1</v>
      </c>
      <c r="C1539">
        <v>0.92030633909614801</v>
      </c>
      <c r="D1539">
        <v>1.2381710646041899</v>
      </c>
      <c r="E1539">
        <v>1.42197452229299</v>
      </c>
      <c r="F1539">
        <v>0.63156657567485597</v>
      </c>
      <c r="G1539">
        <v>0.81778889899909002</v>
      </c>
      <c r="H1539">
        <v>0.53820897785865895</v>
      </c>
      <c r="I1539">
        <v>0.63014103730664195</v>
      </c>
      <c r="J1539">
        <v>0.79557173187746399</v>
      </c>
      <c r="K1539">
        <v>0.73673794358507705</v>
      </c>
      <c r="L1539">
        <v>12860.3769681632</v>
      </c>
      <c r="M1539">
        <v>248.94498856755399</v>
      </c>
      <c r="O1539">
        <v>51.656179671580396</v>
      </c>
      <c r="P1539">
        <v>-0.37140933180366897</v>
      </c>
      <c r="Q1539">
        <v>0.69172969214728197</v>
      </c>
      <c r="R1539">
        <v>0.57615195768301497</v>
      </c>
      <c r="S1539" t="s">
        <v>3413</v>
      </c>
      <c r="T1539" t="s">
        <v>3746</v>
      </c>
      <c r="U1539" t="s">
        <v>3746</v>
      </c>
      <c r="V1539" t="s">
        <v>3746</v>
      </c>
      <c r="W1539" t="s">
        <v>5273</v>
      </c>
      <c r="X1539">
        <v>2</v>
      </c>
      <c r="Y1539" t="s">
        <v>7060</v>
      </c>
      <c r="Z1539" t="s">
        <v>8927</v>
      </c>
      <c r="AA1539">
        <v>0.81156727053124156</v>
      </c>
      <c r="AB1539" t="str">
        <f>HYPERLINK("Melting_Curves/meltCurve_Q6P6B1_C8orf47.pdf", "Melting_Curves/meltCurve_Q6P6B1_C8orf47.pdf")</f>
        <v>Melting_Curves/meltCurve_Q6P6B1_C8orf47.pdf</v>
      </c>
    </row>
    <row r="1540" spans="1:28" x14ac:dyDescent="0.25">
      <c r="A1540" t="s">
        <v>1544</v>
      </c>
      <c r="B1540">
        <v>1</v>
      </c>
      <c r="C1540">
        <v>1.0665252310956199</v>
      </c>
      <c r="D1540">
        <v>1.69033186846492</v>
      </c>
      <c r="E1540">
        <v>2.4707531444158199</v>
      </c>
      <c r="F1540">
        <v>1.9053644491589601</v>
      </c>
      <c r="G1540">
        <v>2.8176238824064299</v>
      </c>
      <c r="H1540">
        <v>1.27951204727989</v>
      </c>
      <c r="I1540">
        <v>2.3705864524928</v>
      </c>
      <c r="J1540">
        <v>2.21510834974996</v>
      </c>
      <c r="K1540">
        <v>2.0396272162448899</v>
      </c>
      <c r="L1540">
        <v>10805.4051158444</v>
      </c>
      <c r="M1540">
        <v>250</v>
      </c>
      <c r="O1540">
        <v>43.218854102419598</v>
      </c>
      <c r="P1540">
        <v>0.72306405040409505</v>
      </c>
      <c r="Q1540">
        <v>1.5</v>
      </c>
      <c r="R1540">
        <v>-0.30484072353610098</v>
      </c>
      <c r="S1540" t="s">
        <v>3414</v>
      </c>
      <c r="T1540" t="s">
        <v>3746</v>
      </c>
      <c r="U1540" t="s">
        <v>3746</v>
      </c>
      <c r="V1540" t="s">
        <v>3746</v>
      </c>
      <c r="W1540" t="s">
        <v>5274</v>
      </c>
      <c r="X1540">
        <v>10</v>
      </c>
      <c r="Y1540" t="s">
        <v>7061</v>
      </c>
      <c r="Z1540" t="s">
        <v>8928</v>
      </c>
      <c r="AA1540">
        <v>1.446268398970344</v>
      </c>
      <c r="AB1540" t="str">
        <f>HYPERLINK("Melting_Curves/meltCurve_Q6PCB0_VWA1.pdf", "Melting_Curves/meltCurve_Q6PCB0_VWA1.pdf")</f>
        <v>Melting_Curves/meltCurve_Q6PCB0_VWA1.pdf</v>
      </c>
    </row>
    <row r="1541" spans="1:28" x14ac:dyDescent="0.25">
      <c r="A1541" t="s">
        <v>1545</v>
      </c>
      <c r="B1541">
        <v>1</v>
      </c>
      <c r="C1541">
        <v>1.17278939178675</v>
      </c>
      <c r="D1541">
        <v>1.39311729021492</v>
      </c>
      <c r="E1541">
        <v>1.8619624292447501</v>
      </c>
      <c r="F1541">
        <v>1.28532124574341</v>
      </c>
      <c r="G1541">
        <v>1.43540130347518</v>
      </c>
      <c r="H1541">
        <v>0.98952484044832301</v>
      </c>
      <c r="I1541">
        <v>1.62190199129513</v>
      </c>
      <c r="J1541">
        <v>1.25284712355952</v>
      </c>
      <c r="K1541">
        <v>1.31249577159867</v>
      </c>
      <c r="L1541">
        <v>4411.08014907078</v>
      </c>
      <c r="M1541">
        <v>102.574717470496</v>
      </c>
      <c r="O1541">
        <v>42.987243028535197</v>
      </c>
      <c r="P1541">
        <v>0.235116961650914</v>
      </c>
      <c r="Q1541">
        <v>1.39413335322049</v>
      </c>
      <c r="R1541">
        <v>0.25957741475162899</v>
      </c>
      <c r="S1541" t="s">
        <v>3415</v>
      </c>
      <c r="T1541" t="s">
        <v>3746</v>
      </c>
      <c r="U1541" t="s">
        <v>3746</v>
      </c>
      <c r="V1541" t="s">
        <v>3746</v>
      </c>
      <c r="W1541" t="s">
        <v>5275</v>
      </c>
      <c r="X1541">
        <v>1</v>
      </c>
      <c r="Y1541" t="s">
        <v>7062</v>
      </c>
      <c r="Z1541" t="s">
        <v>8929</v>
      </c>
      <c r="AA1541">
        <v>1.354493972847175</v>
      </c>
      <c r="AB1541" t="str">
        <f>HYPERLINK("Melting_Curves/meltCurve_Q6UW49_SPESP1.pdf", "Melting_Curves/meltCurve_Q6UW49_SPESP1.pdf")</f>
        <v>Melting_Curves/meltCurve_Q6UW49_SPESP1.pdf</v>
      </c>
    </row>
    <row r="1542" spans="1:28" x14ac:dyDescent="0.25">
      <c r="A1542" t="s">
        <v>1546</v>
      </c>
      <c r="B1542">
        <v>1</v>
      </c>
      <c r="C1542">
        <v>1.5040371173776801</v>
      </c>
      <c r="D1542">
        <v>1.2089057604241999</v>
      </c>
      <c r="E1542">
        <v>2.0870691732947702</v>
      </c>
      <c r="F1542">
        <v>0.97909134731260605</v>
      </c>
      <c r="G1542">
        <v>1.25042178838274</v>
      </c>
      <c r="H1542">
        <v>0.68275488069414303</v>
      </c>
      <c r="I1542">
        <v>1.24078091106291</v>
      </c>
      <c r="J1542">
        <v>1.0708604483008</v>
      </c>
      <c r="K1542">
        <v>1.2733791275005999</v>
      </c>
      <c r="L1542">
        <v>1765.06866143759</v>
      </c>
      <c r="M1542">
        <v>25.314736038279499</v>
      </c>
      <c r="O1542">
        <v>69.294210761551895</v>
      </c>
      <c r="P1542">
        <v>4.5665900572891299E-2</v>
      </c>
      <c r="Q1542">
        <v>1.5</v>
      </c>
      <c r="R1542">
        <v>-0.35021658897293401</v>
      </c>
      <c r="S1542" t="s">
        <v>3416</v>
      </c>
      <c r="T1542" t="s">
        <v>3746</v>
      </c>
      <c r="U1542" t="s">
        <v>3746</v>
      </c>
      <c r="V1542" t="s">
        <v>3746</v>
      </c>
      <c r="W1542" t="s">
        <v>5276</v>
      </c>
      <c r="X1542">
        <v>3</v>
      </c>
      <c r="Y1542" t="s">
        <v>7063</v>
      </c>
      <c r="Z1542" t="s">
        <v>8930</v>
      </c>
      <c r="AA1542">
        <v>1.031519171164897</v>
      </c>
      <c r="AB1542" t="str">
        <f>HYPERLINK("Melting_Curves/meltCurve_Q6UWP8_SBSN.pdf", "Melting_Curves/meltCurve_Q6UWP8_SBSN.pdf")</f>
        <v>Melting_Curves/meltCurve_Q6UWP8_SBSN.pdf</v>
      </c>
    </row>
    <row r="1543" spans="1:28" x14ac:dyDescent="0.25">
      <c r="A1543" t="s">
        <v>1547</v>
      </c>
      <c r="B1543">
        <v>1</v>
      </c>
      <c r="C1543">
        <v>1.1489129036408099</v>
      </c>
      <c r="D1543">
        <v>1.9146404219735</v>
      </c>
      <c r="E1543">
        <v>3.1190659976842898</v>
      </c>
      <c r="F1543">
        <v>2.47002444358677</v>
      </c>
      <c r="G1543">
        <v>2.94808954071787</v>
      </c>
      <c r="H1543">
        <v>1.6391354689309099</v>
      </c>
      <c r="I1543">
        <v>2.4706676958703202</v>
      </c>
      <c r="J1543">
        <v>2.2684291779235801</v>
      </c>
      <c r="K1543">
        <v>2.1735494661005998</v>
      </c>
      <c r="L1543">
        <v>10761.794078945801</v>
      </c>
      <c r="M1543">
        <v>250</v>
      </c>
      <c r="O1543">
        <v>43.044421661024899</v>
      </c>
      <c r="P1543">
        <v>0.72599419130487397</v>
      </c>
      <c r="Q1543">
        <v>1.5</v>
      </c>
      <c r="R1543">
        <v>-0.77112044712358696</v>
      </c>
      <c r="S1543" t="s">
        <v>3417</v>
      </c>
      <c r="T1543" t="s">
        <v>3746</v>
      </c>
      <c r="U1543" t="s">
        <v>3746</v>
      </c>
      <c r="V1543" t="s">
        <v>3746</v>
      </c>
      <c r="W1543" t="s">
        <v>5277</v>
      </c>
      <c r="X1543">
        <v>6</v>
      </c>
      <c r="Y1543" t="s">
        <v>7064</v>
      </c>
      <c r="Z1543" t="s">
        <v>8931</v>
      </c>
      <c r="AA1543">
        <v>1.449175954494867</v>
      </c>
      <c r="AB1543" t="str">
        <f>HYPERLINK("Melting_Curves/meltCurve_Q6UX06_OLFM4.pdf", "Melting_Curves/meltCurve_Q6UX06_OLFM4.pdf")</f>
        <v>Melting_Curves/meltCurve_Q6UX06_OLFM4.pdf</v>
      </c>
    </row>
    <row r="1544" spans="1:28" x14ac:dyDescent="0.25">
      <c r="A1544" t="s">
        <v>1548</v>
      </c>
      <c r="B1544">
        <v>1</v>
      </c>
      <c r="C1544">
        <v>1.0678252172282301</v>
      </c>
      <c r="D1544">
        <v>1.58700589693901</v>
      </c>
      <c r="E1544">
        <v>2.03452730720343</v>
      </c>
      <c r="F1544">
        <v>1.1387968577441601</v>
      </c>
      <c r="G1544">
        <v>0.95197016107186805</v>
      </c>
      <c r="H1544">
        <v>0.90662832614448496</v>
      </c>
      <c r="I1544">
        <v>1.0622616740638899</v>
      </c>
      <c r="J1544">
        <v>1.0791815132003899</v>
      </c>
      <c r="K1544">
        <v>1.25919443228939</v>
      </c>
      <c r="L1544">
        <v>2487.27703455746</v>
      </c>
      <c r="M1544">
        <v>35.592576051598698</v>
      </c>
      <c r="O1544">
        <v>69.662424024748503</v>
      </c>
      <c r="P1544">
        <v>6.3866391751402005E-2</v>
      </c>
      <c r="Q1544">
        <v>1.5</v>
      </c>
      <c r="R1544">
        <v>-0.33076077618907501</v>
      </c>
      <c r="S1544" t="s">
        <v>3418</v>
      </c>
      <c r="T1544" t="s">
        <v>3746</v>
      </c>
      <c r="U1544" t="s">
        <v>3746</v>
      </c>
      <c r="V1544" t="s">
        <v>3746</v>
      </c>
      <c r="W1544" t="s">
        <v>5278</v>
      </c>
      <c r="X1544">
        <v>4</v>
      </c>
      <c r="Y1544" t="s">
        <v>7065</v>
      </c>
      <c r="Z1544" t="s">
        <v>8932</v>
      </c>
      <c r="AA1544">
        <v>1.0222937552265321</v>
      </c>
      <c r="AB1544" t="str">
        <f>HYPERLINK("Melting_Curves/meltCurve_Q6UX71_PLXDC2.pdf", "Melting_Curves/meltCurve_Q6UX71_PLXDC2.pdf")</f>
        <v>Melting_Curves/meltCurve_Q6UX71_PLXDC2.pdf</v>
      </c>
    </row>
    <row r="1545" spans="1:28" x14ac:dyDescent="0.25">
      <c r="A1545" t="s">
        <v>1549</v>
      </c>
      <c r="B1545">
        <v>1</v>
      </c>
      <c r="C1545">
        <v>0.88556501221875805</v>
      </c>
      <c r="D1545">
        <v>1.2741215134406301</v>
      </c>
      <c r="E1545">
        <v>1.4410550265441999</v>
      </c>
      <c r="F1545">
        <v>1.06320047189686</v>
      </c>
      <c r="G1545">
        <v>1.3542597118058499</v>
      </c>
      <c r="H1545">
        <v>0.75216145613887198</v>
      </c>
      <c r="I1545">
        <v>1.2217072554141699</v>
      </c>
      <c r="J1545">
        <v>1.08654251285076</v>
      </c>
      <c r="K1545">
        <v>1.0530883963933599</v>
      </c>
      <c r="L1545">
        <v>11099.3569470196</v>
      </c>
      <c r="M1545">
        <v>250</v>
      </c>
      <c r="O1545">
        <v>44.394586690477396</v>
      </c>
      <c r="P1545">
        <v>0.21929122572267701</v>
      </c>
      <c r="Q1545">
        <v>1.15576549295842</v>
      </c>
      <c r="R1545">
        <v>0.16298373801107</v>
      </c>
      <c r="S1545" t="s">
        <v>3419</v>
      </c>
      <c r="T1545" t="s">
        <v>3746</v>
      </c>
      <c r="U1545" t="s">
        <v>3746</v>
      </c>
      <c r="V1545" t="s">
        <v>3746</v>
      </c>
      <c r="W1545" t="s">
        <v>5279</v>
      </c>
      <c r="X1545">
        <v>3</v>
      </c>
      <c r="Y1545" t="s">
        <v>7066</v>
      </c>
      <c r="Z1545" t="s">
        <v>8933</v>
      </c>
      <c r="AA1545">
        <v>1.132921105971832</v>
      </c>
      <c r="AB1545" t="str">
        <f>HYPERLINK("Melting_Curves/meltCurve_Q6UX72_B3GNT9.pdf", "Melting_Curves/meltCurve_Q6UX72_B3GNT9.pdf")</f>
        <v>Melting_Curves/meltCurve_Q6UX72_B3GNT9.pdf</v>
      </c>
    </row>
    <row r="1546" spans="1:28" x14ac:dyDescent="0.25">
      <c r="A1546" t="s">
        <v>1550</v>
      </c>
      <c r="B1546">
        <v>1</v>
      </c>
      <c r="C1546">
        <v>1.1451219512195101</v>
      </c>
      <c r="D1546">
        <v>1.3783739837398401</v>
      </c>
      <c r="E1546">
        <v>1.77837398373984</v>
      </c>
      <c r="F1546">
        <v>0.92642276422764203</v>
      </c>
      <c r="G1546">
        <v>0.94756097560975605</v>
      </c>
      <c r="H1546">
        <v>0.72983739837398398</v>
      </c>
      <c r="I1546">
        <v>0.90837398373983702</v>
      </c>
      <c r="J1546">
        <v>0.95357723577235798</v>
      </c>
      <c r="K1546">
        <v>0.99528455284552797</v>
      </c>
      <c r="L1546">
        <v>14248.1816573101</v>
      </c>
      <c r="M1546">
        <v>250</v>
      </c>
      <c r="O1546">
        <v>56.989079499150201</v>
      </c>
      <c r="P1546">
        <v>-0.113214344707439</v>
      </c>
      <c r="Q1546">
        <v>0.89676829951318104</v>
      </c>
      <c r="R1546">
        <v>-1.5963863384628001E-2</v>
      </c>
      <c r="S1546" t="s">
        <v>3420</v>
      </c>
      <c r="T1546" t="s">
        <v>3746</v>
      </c>
      <c r="U1546" t="s">
        <v>3746</v>
      </c>
      <c r="V1546" t="s">
        <v>3746</v>
      </c>
      <c r="W1546" t="s">
        <v>5280</v>
      </c>
      <c r="X1546">
        <v>5</v>
      </c>
      <c r="Y1546" t="s">
        <v>7067</v>
      </c>
      <c r="Z1546" t="s">
        <v>8934</v>
      </c>
      <c r="AA1546">
        <v>0.95525156041518189</v>
      </c>
      <c r="AB1546" t="str">
        <f>HYPERLINK("Melting_Curves/meltCurve_Q6UXA7_C6orf15.pdf", "Melting_Curves/meltCurve_Q6UXA7_C6orf15.pdf")</f>
        <v>Melting_Curves/meltCurve_Q6UXA7_C6orf15.pdf</v>
      </c>
    </row>
    <row r="1547" spans="1:28" x14ac:dyDescent="0.25">
      <c r="A1547" t="s">
        <v>1551</v>
      </c>
      <c r="B1547">
        <v>1</v>
      </c>
      <c r="C1547">
        <v>0.88858635984366097</v>
      </c>
      <c r="D1547">
        <v>0.96961046945676499</v>
      </c>
      <c r="E1547">
        <v>1.09556014228624</v>
      </c>
      <c r="F1547">
        <v>0.86236880242413605</v>
      </c>
      <c r="G1547">
        <v>0.72267357603969995</v>
      </c>
      <c r="H1547">
        <v>0.738834482455755</v>
      </c>
      <c r="I1547">
        <v>0.85995344956304098</v>
      </c>
      <c r="J1547">
        <v>1.0014931272232199</v>
      </c>
      <c r="K1547">
        <v>0.87751965218918804</v>
      </c>
      <c r="L1547">
        <v>13153.484062461301</v>
      </c>
      <c r="M1547">
        <v>250</v>
      </c>
      <c r="O1547">
        <v>52.6105692696867</v>
      </c>
      <c r="P1547">
        <v>-0.189963502373935</v>
      </c>
      <c r="Q1547">
        <v>0.84009459206860504</v>
      </c>
      <c r="R1547">
        <v>0.40247638955516102</v>
      </c>
      <c r="S1547" t="s">
        <v>3421</v>
      </c>
      <c r="T1547" t="s">
        <v>3746</v>
      </c>
      <c r="U1547" t="s">
        <v>3746</v>
      </c>
      <c r="V1547" t="s">
        <v>3746</v>
      </c>
      <c r="W1547" t="s">
        <v>5281</v>
      </c>
      <c r="X1547">
        <v>1</v>
      </c>
      <c r="Y1547" t="s">
        <v>7068</v>
      </c>
      <c r="Z1547" t="s">
        <v>8935</v>
      </c>
      <c r="AA1547">
        <v>0.90734391125164393</v>
      </c>
      <c r="AB1547" t="str">
        <f>HYPERLINK("Melting_Curves/meltCurve_Q6UXB2_CXCL17.pdf", "Melting_Curves/meltCurve_Q6UXB2_CXCL17.pdf")</f>
        <v>Melting_Curves/meltCurve_Q6UXB2_CXCL17.pdf</v>
      </c>
    </row>
    <row r="1548" spans="1:28" x14ac:dyDescent="0.25">
      <c r="A1548" t="s">
        <v>1552</v>
      </c>
      <c r="B1548">
        <v>1</v>
      </c>
      <c r="C1548">
        <v>1.04681038760545</v>
      </c>
      <c r="D1548">
        <v>1.4719909577107599</v>
      </c>
      <c r="E1548">
        <v>1.9662843910238701</v>
      </c>
      <c r="F1548">
        <v>1.4048629872636</v>
      </c>
      <c r="G1548">
        <v>1.57261399349396</v>
      </c>
      <c r="H1548">
        <v>0.715553840216133</v>
      </c>
      <c r="I1548">
        <v>1.4682692837845299</v>
      </c>
      <c r="J1548">
        <v>1.44538788112698</v>
      </c>
      <c r="K1548">
        <v>1.3504024921431299</v>
      </c>
      <c r="L1548">
        <v>10814.5646487921</v>
      </c>
      <c r="M1548">
        <v>250</v>
      </c>
      <c r="O1548">
        <v>43.255488606775003</v>
      </c>
      <c r="P1548">
        <v>0.61324692415584503</v>
      </c>
      <c r="Q1548">
        <v>1.4244207421080599</v>
      </c>
      <c r="R1548">
        <v>0.237726055448334</v>
      </c>
      <c r="S1548" t="s">
        <v>3422</v>
      </c>
      <c r="T1548" t="s">
        <v>3746</v>
      </c>
      <c r="U1548" t="s">
        <v>3746</v>
      </c>
      <c r="V1548" t="s">
        <v>3746</v>
      </c>
      <c r="W1548" t="s">
        <v>5282</v>
      </c>
      <c r="X1548">
        <v>11</v>
      </c>
      <c r="Y1548" t="s">
        <v>7069</v>
      </c>
      <c r="Z1548" t="s">
        <v>8936</v>
      </c>
      <c r="AA1548">
        <v>1.3782927700820591</v>
      </c>
      <c r="AB1548" t="str">
        <f>HYPERLINK("Melting_Curves/meltCurve_Q6UXI9_NPNT.pdf", "Melting_Curves/meltCurve_Q6UXI9_NPNT.pdf")</f>
        <v>Melting_Curves/meltCurve_Q6UXI9_NPNT.pdf</v>
      </c>
    </row>
    <row r="1549" spans="1:28" x14ac:dyDescent="0.25">
      <c r="A1549" t="s">
        <v>1553</v>
      </c>
      <c r="B1549">
        <v>1</v>
      </c>
      <c r="C1549">
        <v>1.55890406859298</v>
      </c>
      <c r="D1549">
        <v>1.42468090200362</v>
      </c>
      <c r="E1549">
        <v>1.7375690194376701</v>
      </c>
      <c r="F1549">
        <v>1.6346197010279999</v>
      </c>
      <c r="G1549">
        <v>1.2458812790854299</v>
      </c>
      <c r="H1549">
        <v>0.52555028505588897</v>
      </c>
      <c r="I1549">
        <v>1.4849541366771899</v>
      </c>
      <c r="J1549">
        <v>0.94871986712355405</v>
      </c>
      <c r="K1549">
        <v>1.06916159152464</v>
      </c>
      <c r="L1549">
        <v>10232.4903289086</v>
      </c>
      <c r="M1549">
        <v>250</v>
      </c>
      <c r="O1549">
        <v>40.927334863050298</v>
      </c>
      <c r="P1549">
        <v>0.44625806278161501</v>
      </c>
      <c r="Q1549">
        <v>1.2922265019878001</v>
      </c>
      <c r="R1549">
        <v>6.0234546988439198E-2</v>
      </c>
      <c r="S1549" t="s">
        <v>3423</v>
      </c>
      <c r="T1549" t="s">
        <v>3746</v>
      </c>
      <c r="U1549" t="s">
        <v>3746</v>
      </c>
      <c r="V1549" t="s">
        <v>3746</v>
      </c>
      <c r="W1549" t="s">
        <v>5283</v>
      </c>
      <c r="X1549">
        <v>1</v>
      </c>
      <c r="Y1549" t="s">
        <v>7070</v>
      </c>
      <c r="Z1549" t="s">
        <v>8937</v>
      </c>
      <c r="AA1549">
        <v>1.2831423529902961</v>
      </c>
      <c r="AB1549" t="str">
        <f>HYPERLINK("Melting_Curves/meltCurve_Q6UXU6_TMEM92.pdf", "Melting_Curves/meltCurve_Q6UXU6_TMEM92.pdf")</f>
        <v>Melting_Curves/meltCurve_Q6UXU6_TMEM92.pdf</v>
      </c>
    </row>
    <row r="1550" spans="1:28" x14ac:dyDescent="0.25">
      <c r="A1550" t="s">
        <v>1554</v>
      </c>
      <c r="B1550">
        <v>1</v>
      </c>
      <c r="C1550">
        <v>0.86009674996943797</v>
      </c>
      <c r="D1550">
        <v>0.97490438518363298</v>
      </c>
      <c r="E1550">
        <v>1.36174708789578</v>
      </c>
      <c r="F1550">
        <v>0.93533120273833903</v>
      </c>
      <c r="G1550">
        <v>1.0409004383437199</v>
      </c>
      <c r="H1550">
        <v>0.841305600670614</v>
      </c>
      <c r="I1550">
        <v>0.91587642549029902</v>
      </c>
      <c r="J1550">
        <v>0.97855433890431498</v>
      </c>
      <c r="K1550">
        <v>0.92221581879464198</v>
      </c>
      <c r="L1550">
        <v>3906.7916395168299</v>
      </c>
      <c r="M1550">
        <v>66.5545563291235</v>
      </c>
      <c r="O1550">
        <v>58.647671521397399</v>
      </c>
      <c r="P1550">
        <v>-2.3867916658238099E-2</v>
      </c>
      <c r="Q1550">
        <v>0.91587069905729102</v>
      </c>
      <c r="R1550">
        <v>0.12692812450952301</v>
      </c>
      <c r="S1550" t="s">
        <v>3424</v>
      </c>
      <c r="T1550" t="s">
        <v>3746</v>
      </c>
      <c r="U1550" t="s">
        <v>3746</v>
      </c>
      <c r="V1550" t="s">
        <v>3746</v>
      </c>
      <c r="W1550" t="s">
        <v>5284</v>
      </c>
      <c r="X1550">
        <v>1</v>
      </c>
      <c r="Y1550" t="s">
        <v>7071</v>
      </c>
      <c r="Z1550" t="s">
        <v>8938</v>
      </c>
      <c r="AA1550">
        <v>0.96843551490016855</v>
      </c>
      <c r="AB1550" t="str">
        <f>HYPERLINK("Melting_Curves/meltCurve_Q6W4X9_MUC6.pdf", "Melting_Curves/meltCurve_Q6W4X9_MUC6.pdf")</f>
        <v>Melting_Curves/meltCurve_Q6W4X9_MUC6.pdf</v>
      </c>
    </row>
    <row r="1551" spans="1:28" x14ac:dyDescent="0.25">
      <c r="A1551" t="s">
        <v>1555</v>
      </c>
      <c r="B1551">
        <v>1</v>
      </c>
      <c r="C1551">
        <v>1.28109752233699</v>
      </c>
      <c r="D1551">
        <v>1.62819212977631</v>
      </c>
      <c r="E1551">
        <v>2.18810595019327</v>
      </c>
      <c r="F1551">
        <v>1.05642861669096</v>
      </c>
      <c r="G1551">
        <v>1.57917749192066</v>
      </c>
      <c r="H1551">
        <v>0.91435903935111795</v>
      </c>
      <c r="I1551">
        <v>1.42196312020784</v>
      </c>
      <c r="J1551">
        <v>1.1530954945820899</v>
      </c>
      <c r="K1551">
        <v>1.13982003675306</v>
      </c>
      <c r="L1551">
        <v>1.0000000000000001E-5</v>
      </c>
      <c r="M1551">
        <v>0.71927760849864097</v>
      </c>
      <c r="Q1551">
        <v>1.5</v>
      </c>
      <c r="R1551">
        <v>-2.6032427324906799E-9</v>
      </c>
      <c r="S1551" t="s">
        <v>3425</v>
      </c>
      <c r="T1551" t="s">
        <v>3746</v>
      </c>
      <c r="U1551" t="s">
        <v>3746</v>
      </c>
      <c r="V1551" t="s">
        <v>3746</v>
      </c>
      <c r="W1551" t="s">
        <v>5285</v>
      </c>
      <c r="X1551">
        <v>20</v>
      </c>
      <c r="Y1551" t="s">
        <v>7072</v>
      </c>
      <c r="Z1551" t="s">
        <v>8939</v>
      </c>
      <c r="AA1551">
        <v>1.336223940308086</v>
      </c>
      <c r="AB1551" t="str">
        <f>HYPERLINK("Melting_Curves/meltCurve_Q6WN34_CHRDL2.pdf", "Melting_Curves/meltCurve_Q6WN34_CHRDL2.pdf")</f>
        <v>Melting_Curves/meltCurve_Q6WN34_CHRDL2.pdf</v>
      </c>
    </row>
    <row r="1552" spans="1:28" x14ac:dyDescent="0.25">
      <c r="A1552" t="s">
        <v>1556</v>
      </c>
      <c r="B1552">
        <v>1</v>
      </c>
      <c r="C1552">
        <v>1.03779781068899</v>
      </c>
      <c r="D1552">
        <v>1.1615582743077899</v>
      </c>
      <c r="E1552">
        <v>1.4052157115260799</v>
      </c>
      <c r="F1552">
        <v>0.71216999356084998</v>
      </c>
      <c r="G1552">
        <v>1.0030907920154499</v>
      </c>
      <c r="H1552">
        <v>0.55459111397295602</v>
      </c>
      <c r="I1552">
        <v>0.84024468770122296</v>
      </c>
      <c r="J1552">
        <v>0.81030264005151298</v>
      </c>
      <c r="K1552">
        <v>0.80070830650354197</v>
      </c>
      <c r="L1552">
        <v>5071.9385869116004</v>
      </c>
      <c r="M1552">
        <v>97.743943081483707</v>
      </c>
      <c r="O1552">
        <v>51.868345032422702</v>
      </c>
      <c r="P1552">
        <v>-0.100648547209786</v>
      </c>
      <c r="Q1552">
        <v>0.78636125790287104</v>
      </c>
      <c r="R1552">
        <v>0.413613658940989</v>
      </c>
      <c r="S1552" t="s">
        <v>3426</v>
      </c>
      <c r="T1552" t="s">
        <v>3746</v>
      </c>
      <c r="U1552" t="s">
        <v>3746</v>
      </c>
      <c r="V1552" t="s">
        <v>3746</v>
      </c>
      <c r="W1552" t="s">
        <v>5286</v>
      </c>
      <c r="X1552">
        <v>28</v>
      </c>
      <c r="Y1552" t="s">
        <v>7072</v>
      </c>
      <c r="Z1552" t="s">
        <v>8940</v>
      </c>
      <c r="AA1552">
        <v>0.87116123459786554</v>
      </c>
      <c r="AB1552" t="str">
        <f>HYPERLINK("Melting_Curves/meltCurve_Q6WN34_2_CHRDL2.pdf", "Melting_Curves/meltCurve_Q6WN34_2_CHRDL2.pdf")</f>
        <v>Melting_Curves/meltCurve_Q6WN34_2_CHRDL2.pdf</v>
      </c>
    </row>
    <row r="1553" spans="1:28" x14ac:dyDescent="0.25">
      <c r="A1553" t="s">
        <v>1557</v>
      </c>
      <c r="B1553">
        <v>1</v>
      </c>
      <c r="C1553">
        <v>1.09920373126314</v>
      </c>
      <c r="D1553">
        <v>1.2060019331379701</v>
      </c>
      <c r="E1553">
        <v>1.1679221835253699</v>
      </c>
      <c r="F1553">
        <v>0.89054756900228604</v>
      </c>
      <c r="G1553">
        <v>1.3004341889258799</v>
      </c>
      <c r="H1553">
        <v>1.019316037374</v>
      </c>
      <c r="I1553">
        <v>1.70208195891315</v>
      </c>
      <c r="J1553">
        <v>1.76866782245815</v>
      </c>
      <c r="K1553">
        <v>1.6858190521487</v>
      </c>
      <c r="L1553">
        <v>15000</v>
      </c>
      <c r="M1553">
        <v>242.74941125165</v>
      </c>
      <c r="O1553">
        <v>61.787922774609498</v>
      </c>
      <c r="P1553">
        <v>0.49109397143765399</v>
      </c>
      <c r="Q1553">
        <v>1.5</v>
      </c>
      <c r="R1553">
        <v>0.64507292927412596</v>
      </c>
      <c r="S1553" t="s">
        <v>3427</v>
      </c>
      <c r="T1553" t="s">
        <v>3746</v>
      </c>
      <c r="U1553" t="s">
        <v>3746</v>
      </c>
      <c r="V1553" t="s">
        <v>3746</v>
      </c>
      <c r="W1553" t="s">
        <v>5287</v>
      </c>
      <c r="X1553">
        <v>5</v>
      </c>
      <c r="Y1553" t="s">
        <v>7073</v>
      </c>
      <c r="Z1553" t="s">
        <v>8941</v>
      </c>
      <c r="AA1553">
        <v>1.13674054116805</v>
      </c>
      <c r="AB1553" t="str">
        <f>HYPERLINK("Melting_Curves/meltCurve_Q6X4U4_SOSTDC1.pdf", "Melting_Curves/meltCurve_Q6X4U4_SOSTDC1.pdf")</f>
        <v>Melting_Curves/meltCurve_Q6X4U4_SOSTDC1.pdf</v>
      </c>
    </row>
    <row r="1554" spans="1:28" x14ac:dyDescent="0.25">
      <c r="A1554" t="s">
        <v>1558</v>
      </c>
      <c r="B1554">
        <v>1</v>
      </c>
      <c r="C1554">
        <v>1.5270602011154799</v>
      </c>
      <c r="D1554">
        <v>1.84578407305073</v>
      </c>
      <c r="E1554">
        <v>2.3830849348274898</v>
      </c>
      <c r="F1554">
        <v>1.85194695810265</v>
      </c>
      <c r="G1554">
        <v>1.5507873085653801</v>
      </c>
      <c r="H1554">
        <v>1.3219388436373301</v>
      </c>
      <c r="I1554">
        <v>1.7472806269708401</v>
      </c>
      <c r="J1554">
        <v>1.6049179822714299</v>
      </c>
      <c r="K1554">
        <v>1.6166274638700899</v>
      </c>
      <c r="L1554">
        <v>10271.2044845951</v>
      </c>
      <c r="M1554">
        <v>250</v>
      </c>
      <c r="O1554">
        <v>41.082180428279003</v>
      </c>
      <c r="P1554">
        <v>0.76067027932250897</v>
      </c>
      <c r="Q1554">
        <v>1.5</v>
      </c>
      <c r="R1554">
        <v>3.3712816110157202E-2</v>
      </c>
      <c r="S1554" t="s">
        <v>3428</v>
      </c>
      <c r="T1554" t="s">
        <v>3746</v>
      </c>
      <c r="U1554" t="s">
        <v>3746</v>
      </c>
      <c r="V1554" t="s">
        <v>3746</v>
      </c>
      <c r="W1554" t="s">
        <v>5288</v>
      </c>
      <c r="X1554">
        <v>1</v>
      </c>
      <c r="Y1554" t="s">
        <v>7074</v>
      </c>
      <c r="Z1554" t="s">
        <v>8942</v>
      </c>
      <c r="AA1554">
        <v>1.4818807240685701</v>
      </c>
      <c r="AB1554" t="str">
        <f>HYPERLINK("Melting_Curves/meltCurve_Q6YHK3_3_CD109.pdf", "Melting_Curves/meltCurve_Q6YHK3_3_CD109.pdf")</f>
        <v>Melting_Curves/meltCurve_Q6YHK3_3_CD109.pdf</v>
      </c>
    </row>
    <row r="1555" spans="1:28" x14ac:dyDescent="0.25">
      <c r="A1555" t="s">
        <v>1559</v>
      </c>
      <c r="B1555">
        <v>1</v>
      </c>
      <c r="C1555">
        <v>1.2827516043199201</v>
      </c>
      <c r="D1555">
        <v>1.6418844889654101</v>
      </c>
      <c r="E1555">
        <v>2.1928314290186299</v>
      </c>
      <c r="F1555">
        <v>1.55133823759587</v>
      </c>
      <c r="G1555">
        <v>2.1766317107528601</v>
      </c>
      <c r="H1555">
        <v>1.04304272969166</v>
      </c>
      <c r="I1555">
        <v>1.7658475504773801</v>
      </c>
      <c r="J1555">
        <v>1.7170918766630101</v>
      </c>
      <c r="K1555">
        <v>1.6507278134293299</v>
      </c>
      <c r="L1555">
        <v>10713.694667033</v>
      </c>
      <c r="M1555">
        <v>250</v>
      </c>
      <c r="O1555">
        <v>42.852021986381303</v>
      </c>
      <c r="P1555">
        <v>0.72925355991701302</v>
      </c>
      <c r="Q1555">
        <v>1.5</v>
      </c>
      <c r="R1555">
        <v>0.12825113793859799</v>
      </c>
      <c r="S1555" t="s">
        <v>3429</v>
      </c>
      <c r="T1555" t="s">
        <v>3746</v>
      </c>
      <c r="U1555" t="s">
        <v>3746</v>
      </c>
      <c r="V1555" t="s">
        <v>3746</v>
      </c>
      <c r="W1555" t="s">
        <v>5289</v>
      </c>
      <c r="X1555">
        <v>2</v>
      </c>
      <c r="Y1555" t="s">
        <v>7075</v>
      </c>
      <c r="Z1555" t="s">
        <v>8943</v>
      </c>
      <c r="AA1555">
        <v>1.452382750752284</v>
      </c>
      <c r="AB1555" t="str">
        <f>HYPERLINK("Melting_Curves/meltCurve_Q6YP21_3_CCBL2.pdf", "Melting_Curves/meltCurve_Q6YP21_3_CCBL2.pdf")</f>
        <v>Melting_Curves/meltCurve_Q6YP21_3_CCBL2.pdf</v>
      </c>
    </row>
    <row r="1556" spans="1:28" x14ac:dyDescent="0.25">
      <c r="A1556" t="s">
        <v>1560</v>
      </c>
      <c r="B1556">
        <v>1</v>
      </c>
      <c r="C1556">
        <v>1.22026841475838</v>
      </c>
      <c r="D1556">
        <v>1.1284935996810901</v>
      </c>
      <c r="E1556">
        <v>1.2044558621606101</v>
      </c>
      <c r="F1556">
        <v>1.04478008592816</v>
      </c>
      <c r="G1556">
        <v>1.30473490720645</v>
      </c>
      <c r="H1556">
        <v>0.607166585463082</v>
      </c>
      <c r="I1556">
        <v>0.97718917482393597</v>
      </c>
      <c r="J1556">
        <v>0.91854542233246195</v>
      </c>
      <c r="K1556">
        <v>0.931877574522745</v>
      </c>
      <c r="L1556">
        <v>1894.5020542136001</v>
      </c>
      <c r="M1556">
        <v>31.8993725987857</v>
      </c>
      <c r="O1556">
        <v>59.158010902124602</v>
      </c>
      <c r="P1556">
        <v>-1.54631663773242E-2</v>
      </c>
      <c r="Q1556">
        <v>0.88529361332034195</v>
      </c>
      <c r="R1556">
        <v>8.9455017853254007E-2</v>
      </c>
      <c r="S1556" t="s">
        <v>3430</v>
      </c>
      <c r="T1556" t="s">
        <v>3746</v>
      </c>
      <c r="U1556" t="s">
        <v>3746</v>
      </c>
      <c r="V1556" t="s">
        <v>3746</v>
      </c>
      <c r="W1556" t="s">
        <v>5290</v>
      </c>
      <c r="X1556">
        <v>1</v>
      </c>
      <c r="Y1556" t="s">
        <v>7076</v>
      </c>
      <c r="Z1556" t="s">
        <v>8944</v>
      </c>
      <c r="AA1556">
        <v>0.96009160257861381</v>
      </c>
      <c r="AB1556" t="str">
        <f>HYPERLINK("Melting_Curves/meltCurve_Q6ZQN7_SLCO4C1.pdf", "Melting_Curves/meltCurve_Q6ZQN7_SLCO4C1.pdf")</f>
        <v>Melting_Curves/meltCurve_Q6ZQN7_SLCO4C1.pdf</v>
      </c>
    </row>
    <row r="1557" spans="1:28" x14ac:dyDescent="0.25">
      <c r="A1557" t="s">
        <v>1561</v>
      </c>
      <c r="B1557">
        <v>1</v>
      </c>
      <c r="C1557">
        <v>1.49055885488046</v>
      </c>
      <c r="D1557">
        <v>1.70976092584133</v>
      </c>
      <c r="E1557">
        <v>2.3636363636363602</v>
      </c>
      <c r="F1557">
        <v>2.4035328155931199</v>
      </c>
      <c r="G1557">
        <v>2.2846809806608799</v>
      </c>
      <c r="H1557">
        <v>1.0329678696512901</v>
      </c>
      <c r="I1557">
        <v>3.07910765950967</v>
      </c>
      <c r="J1557">
        <v>3.20443124714481</v>
      </c>
      <c r="K1557">
        <v>2.8070656311862301</v>
      </c>
      <c r="S1557" t="s">
        <v>3431</v>
      </c>
      <c r="T1557" t="s">
        <v>3746</v>
      </c>
      <c r="U1557" t="s">
        <v>3747</v>
      </c>
      <c r="V1557" t="s">
        <v>3746</v>
      </c>
      <c r="W1557" t="s">
        <v>5291</v>
      </c>
      <c r="X1557">
        <v>2</v>
      </c>
      <c r="Y1557" t="s">
        <v>7077</v>
      </c>
      <c r="Z1557" t="s">
        <v>8945</v>
      </c>
      <c r="AB1557" t="str">
        <f>HYPERLINK("Melting_Curves/meltCurve_Q6ZVX7_NCCRP1.pdf", "Melting_Curves/meltCurve_Q6ZVX7_NCCRP1.pdf")</f>
        <v>Melting_Curves/meltCurve_Q6ZVX7_NCCRP1.pdf</v>
      </c>
    </row>
    <row r="1558" spans="1:28" x14ac:dyDescent="0.25">
      <c r="A1558" t="s">
        <v>1562</v>
      </c>
      <c r="B1558">
        <v>1</v>
      </c>
      <c r="C1558">
        <v>1.0054215234480901</v>
      </c>
      <c r="D1558">
        <v>1.88635131471944</v>
      </c>
      <c r="E1558">
        <v>2.2011385199241</v>
      </c>
      <c r="F1558">
        <v>1.85980843950483</v>
      </c>
      <c r="G1558">
        <v>1.93367669648505</v>
      </c>
      <c r="H1558">
        <v>0.94851811692418897</v>
      </c>
      <c r="I1558">
        <v>1.61177374175477</v>
      </c>
      <c r="J1558">
        <v>1.6299584349869001</v>
      </c>
      <c r="K1558">
        <v>1.36170597271167</v>
      </c>
      <c r="L1558">
        <v>10917.7898066294</v>
      </c>
      <c r="M1558">
        <v>250</v>
      </c>
      <c r="O1558">
        <v>43.668364809417497</v>
      </c>
      <c r="P1558">
        <v>0.71562103023694101</v>
      </c>
      <c r="Q1558">
        <v>1.5</v>
      </c>
      <c r="R1558">
        <v>0.26611206381297198</v>
      </c>
      <c r="S1558" t="s">
        <v>3432</v>
      </c>
      <c r="T1558" t="s">
        <v>3746</v>
      </c>
      <c r="U1558" t="s">
        <v>3746</v>
      </c>
      <c r="V1558" t="s">
        <v>3746</v>
      </c>
      <c r="W1558" t="s">
        <v>5292</v>
      </c>
      <c r="X1558">
        <v>1</v>
      </c>
      <c r="Y1558" t="s">
        <v>7078</v>
      </c>
      <c r="Z1558" t="s">
        <v>8946</v>
      </c>
      <c r="AA1558">
        <v>1.438775691788726</v>
      </c>
      <c r="AB1558" t="str">
        <f>HYPERLINK("Melting_Curves/meltCurve_Q6ZWK4_C1orf186.pdf", "Melting_Curves/meltCurve_Q6ZWK4_C1orf186.pdf")</f>
        <v>Melting_Curves/meltCurve_Q6ZWK4_C1orf186.pdf</v>
      </c>
    </row>
    <row r="1559" spans="1:28" x14ac:dyDescent="0.25">
      <c r="A1559" t="s">
        <v>1563</v>
      </c>
      <c r="B1559">
        <v>1</v>
      </c>
      <c r="C1559">
        <v>1.0149732282469599</v>
      </c>
      <c r="D1559">
        <v>1.55685246315922</v>
      </c>
      <c r="E1559">
        <v>2.09767346358568</v>
      </c>
      <c r="F1559">
        <v>1.5027245589373399</v>
      </c>
      <c r="G1559">
        <v>1.75635335555099</v>
      </c>
      <c r="H1559">
        <v>1.2432201917457699</v>
      </c>
      <c r="I1559">
        <v>2.0319681581981599</v>
      </c>
      <c r="J1559">
        <v>2.0256503403724402</v>
      </c>
      <c r="K1559">
        <v>1.93609527269281</v>
      </c>
      <c r="L1559">
        <v>10874.196986352999</v>
      </c>
      <c r="M1559">
        <v>250</v>
      </c>
      <c r="O1559">
        <v>43.493995027835901</v>
      </c>
      <c r="P1559">
        <v>0.71848983363205299</v>
      </c>
      <c r="Q1559">
        <v>1.5</v>
      </c>
      <c r="R1559">
        <v>0.21961712543718201</v>
      </c>
      <c r="S1559" t="s">
        <v>3433</v>
      </c>
      <c r="T1559" t="s">
        <v>3746</v>
      </c>
      <c r="U1559" t="s">
        <v>3746</v>
      </c>
      <c r="V1559" t="s">
        <v>3746</v>
      </c>
      <c r="W1559" t="s">
        <v>5293</v>
      </c>
      <c r="X1559">
        <v>10</v>
      </c>
      <c r="Y1559" t="s">
        <v>7079</v>
      </c>
      <c r="Z1559" t="s">
        <v>8947</v>
      </c>
      <c r="AA1559">
        <v>1.441682032809722</v>
      </c>
      <c r="AB1559" t="str">
        <f>HYPERLINK("Melting_Curves/meltCurve_Q71U36_2_TUBA1A.pdf", "Melting_Curves/meltCurve_Q71U36_2_TUBA1A.pdf")</f>
        <v>Melting_Curves/meltCurve_Q71U36_2_TUBA1A.pdf</v>
      </c>
    </row>
    <row r="1560" spans="1:28" x14ac:dyDescent="0.25">
      <c r="A1560" t="s">
        <v>1564</v>
      </c>
      <c r="B1560">
        <v>1</v>
      </c>
      <c r="C1560">
        <v>1.2207701010416301</v>
      </c>
      <c r="D1560">
        <v>1.56282916552881</v>
      </c>
      <c r="E1560">
        <v>1.9174891741115001</v>
      </c>
      <c r="F1560">
        <v>1.5029454219170599</v>
      </c>
      <c r="G1560">
        <v>1.42339952405103</v>
      </c>
      <c r="H1560">
        <v>1.2224866383177899</v>
      </c>
      <c r="I1560">
        <v>2.01603401864784</v>
      </c>
      <c r="J1560">
        <v>1.9527172004837501</v>
      </c>
      <c r="K1560">
        <v>1.9844341278820301</v>
      </c>
      <c r="L1560">
        <v>10735.0777867538</v>
      </c>
      <c r="M1560">
        <v>250</v>
      </c>
      <c r="O1560">
        <v>42.937563251222201</v>
      </c>
      <c r="P1560">
        <v>0.72780096656353499</v>
      </c>
      <c r="Q1560">
        <v>1.5</v>
      </c>
      <c r="R1560">
        <v>0.21411281099329799</v>
      </c>
      <c r="S1560" t="s">
        <v>3434</v>
      </c>
      <c r="T1560" t="s">
        <v>3746</v>
      </c>
      <c r="U1560" t="s">
        <v>3746</v>
      </c>
      <c r="V1560" t="s">
        <v>3746</v>
      </c>
      <c r="W1560" t="s">
        <v>5294</v>
      </c>
      <c r="X1560">
        <v>5</v>
      </c>
      <c r="Y1560" t="s">
        <v>7080</v>
      </c>
      <c r="Z1560" t="s">
        <v>8948</v>
      </c>
      <c r="AA1560">
        <v>1.4509571344017711</v>
      </c>
      <c r="AB1560" t="str">
        <f>HYPERLINK("Melting_Curves/meltCurve_Q7KZF4_SND1.pdf", "Melting_Curves/meltCurve_Q7KZF4_SND1.pdf")</f>
        <v>Melting_Curves/meltCurve_Q7KZF4_SND1.pdf</v>
      </c>
    </row>
    <row r="1561" spans="1:28" x14ac:dyDescent="0.25">
      <c r="A1561" t="s">
        <v>1565</v>
      </c>
      <c r="B1561">
        <v>1</v>
      </c>
      <c r="C1561">
        <v>1.06374222167457</v>
      </c>
      <c r="D1561">
        <v>1.47902162528495</v>
      </c>
      <c r="E1561">
        <v>1.8315568972953</v>
      </c>
      <c r="F1561">
        <v>1.44636806111761</v>
      </c>
      <c r="G1561">
        <v>1.5122912944365701</v>
      </c>
      <c r="H1561">
        <v>1.16194935617029</v>
      </c>
      <c r="I1561">
        <v>1.75515987924342</v>
      </c>
      <c r="J1561">
        <v>1.4639886636682899</v>
      </c>
      <c r="K1561">
        <v>1.4578276138254</v>
      </c>
      <c r="L1561">
        <v>3301.4022059611898</v>
      </c>
      <c r="M1561">
        <v>75.024965289302898</v>
      </c>
      <c r="O1561">
        <v>43.972824974749301</v>
      </c>
      <c r="P1561">
        <v>0.21327091180102101</v>
      </c>
      <c r="Q1561">
        <v>1.5</v>
      </c>
      <c r="R1561">
        <v>0.55742581631477395</v>
      </c>
      <c r="S1561" t="s">
        <v>3435</v>
      </c>
      <c r="T1561" t="s">
        <v>3746</v>
      </c>
      <c r="U1561" t="s">
        <v>3746</v>
      </c>
      <c r="V1561" t="s">
        <v>3746</v>
      </c>
      <c r="W1561" t="s">
        <v>5295</v>
      </c>
      <c r="X1561">
        <v>2</v>
      </c>
      <c r="Y1561" t="s">
        <v>7081</v>
      </c>
      <c r="Z1561" t="s">
        <v>8949</v>
      </c>
      <c r="AA1561">
        <v>1.432831828018277</v>
      </c>
      <c r="AB1561" t="str">
        <f>HYPERLINK("Melting_Curves/meltCurve_Q7L1Q6_2_BZW1.pdf", "Melting_Curves/meltCurve_Q7L1Q6_2_BZW1.pdf")</f>
        <v>Melting_Curves/meltCurve_Q7L1Q6_2_BZW1.pdf</v>
      </c>
    </row>
    <row r="1562" spans="1:28" x14ac:dyDescent="0.25">
      <c r="A1562" t="s">
        <v>1566</v>
      </c>
      <c r="B1562">
        <v>1</v>
      </c>
      <c r="C1562">
        <v>1.16621704948358</v>
      </c>
      <c r="D1562">
        <v>2.1560428549406501</v>
      </c>
      <c r="E1562">
        <v>3.4514798828426101</v>
      </c>
      <c r="F1562">
        <v>2.4722521967010902</v>
      </c>
      <c r="G1562">
        <v>3.5472483428395201</v>
      </c>
      <c r="H1562">
        <v>2.1351163866193898</v>
      </c>
      <c r="I1562">
        <v>3.53445352242947</v>
      </c>
      <c r="J1562">
        <v>3.2197471866810501</v>
      </c>
      <c r="K1562">
        <v>2.8708570988130102</v>
      </c>
      <c r="L1562">
        <v>10754.90967825</v>
      </c>
      <c r="M1562">
        <v>250</v>
      </c>
      <c r="O1562">
        <v>43.016885769458099</v>
      </c>
      <c r="P1562">
        <v>0.726458912540624</v>
      </c>
      <c r="Q1562">
        <v>1.5</v>
      </c>
      <c r="R1562">
        <v>-1.3506735484025501</v>
      </c>
      <c r="S1562" t="s">
        <v>3436</v>
      </c>
      <c r="T1562" t="s">
        <v>3746</v>
      </c>
      <c r="U1562" t="s">
        <v>3746</v>
      </c>
      <c r="V1562" t="s">
        <v>3746</v>
      </c>
      <c r="W1562" t="s">
        <v>5296</v>
      </c>
      <c r="X1562">
        <v>2</v>
      </c>
      <c r="Y1562" t="s">
        <v>7082</v>
      </c>
      <c r="Z1562" t="s">
        <v>8950</v>
      </c>
      <c r="AA1562">
        <v>1.4496349387028009</v>
      </c>
      <c r="AB1562" t="str">
        <f>HYPERLINK("Melting_Curves/meltCurve_Q7L266_ASRGL1.pdf", "Melting_Curves/meltCurve_Q7L266_ASRGL1.pdf")</f>
        <v>Melting_Curves/meltCurve_Q7L266_ASRGL1.pdf</v>
      </c>
    </row>
    <row r="1563" spans="1:28" x14ac:dyDescent="0.25">
      <c r="A1563" t="s">
        <v>1567</v>
      </c>
      <c r="B1563">
        <v>1</v>
      </c>
      <c r="C1563">
        <v>0.60682873700217799</v>
      </c>
      <c r="D1563">
        <v>1.15305577247133</v>
      </c>
      <c r="E1563">
        <v>1.1356910936665201</v>
      </c>
      <c r="F1563">
        <v>0.58510747605934799</v>
      </c>
      <c r="G1563">
        <v>0.71736673379639104</v>
      </c>
      <c r="H1563">
        <v>0.56362253914758997</v>
      </c>
      <c r="I1563">
        <v>0.87049443097283297</v>
      </c>
      <c r="J1563">
        <v>0.79576466236488397</v>
      </c>
      <c r="K1563">
        <v>0.68584316304303194</v>
      </c>
      <c r="L1563">
        <v>5462.8794106098903</v>
      </c>
      <c r="M1563">
        <v>106.10204531489001</v>
      </c>
      <c r="O1563">
        <v>51.468751057618803</v>
      </c>
      <c r="P1563">
        <v>-0.15355951938082801</v>
      </c>
      <c r="Q1563">
        <v>0.702040955825734</v>
      </c>
      <c r="R1563">
        <v>0.37815951542843002</v>
      </c>
      <c r="S1563" t="s">
        <v>3437</v>
      </c>
      <c r="T1563" t="s">
        <v>3746</v>
      </c>
      <c r="U1563" t="s">
        <v>3746</v>
      </c>
      <c r="V1563" t="s">
        <v>3746</v>
      </c>
      <c r="W1563" t="s">
        <v>5297</v>
      </c>
      <c r="X1563">
        <v>2</v>
      </c>
      <c r="Y1563" t="s">
        <v>7083</v>
      </c>
      <c r="Z1563" t="s">
        <v>8951</v>
      </c>
      <c r="AA1563">
        <v>0.816279415431994</v>
      </c>
      <c r="AB1563" t="str">
        <f>HYPERLINK("Melting_Curves/meltCurve_Q7LBR1_CHMP1B.pdf", "Melting_Curves/meltCurve_Q7LBR1_CHMP1B.pdf")</f>
        <v>Melting_Curves/meltCurve_Q7LBR1_CHMP1B.pdf</v>
      </c>
    </row>
    <row r="1564" spans="1:28" x14ac:dyDescent="0.25">
      <c r="A1564" t="s">
        <v>1568</v>
      </c>
      <c r="B1564">
        <v>1</v>
      </c>
      <c r="C1564">
        <v>0.84557095864661602</v>
      </c>
      <c r="D1564">
        <v>1.6227091165413501</v>
      </c>
      <c r="E1564">
        <v>1.80709586466165</v>
      </c>
      <c r="F1564">
        <v>1.54323308270677</v>
      </c>
      <c r="G1564">
        <v>1.51027960526316</v>
      </c>
      <c r="H1564">
        <v>0.478530310150376</v>
      </c>
      <c r="I1564">
        <v>1.7601621240601499</v>
      </c>
      <c r="J1564">
        <v>1.98249530075188</v>
      </c>
      <c r="K1564">
        <v>1.59122415413534</v>
      </c>
      <c r="L1564">
        <v>11105.5440971518</v>
      </c>
      <c r="M1564">
        <v>250</v>
      </c>
      <c r="O1564">
        <v>44.419333681241604</v>
      </c>
      <c r="P1564">
        <v>0.70352248579499599</v>
      </c>
      <c r="Q1564">
        <v>1.5</v>
      </c>
      <c r="R1564">
        <v>0.28076529755492502</v>
      </c>
      <c r="S1564" t="s">
        <v>3438</v>
      </c>
      <c r="T1564" t="s">
        <v>3746</v>
      </c>
      <c r="U1564" t="s">
        <v>3746</v>
      </c>
      <c r="V1564" t="s">
        <v>3746</v>
      </c>
      <c r="W1564" t="s">
        <v>5298</v>
      </c>
      <c r="X1564">
        <v>1</v>
      </c>
      <c r="Y1564" t="s">
        <v>7084</v>
      </c>
      <c r="Z1564" t="s">
        <v>8952</v>
      </c>
      <c r="AA1564">
        <v>1.426258080075778</v>
      </c>
      <c r="AB1564" t="str">
        <f>HYPERLINK("Melting_Curves/meltCurve_Q7Z304_MAMDC2.pdf", "Melting_Curves/meltCurve_Q7Z304_MAMDC2.pdf")</f>
        <v>Melting_Curves/meltCurve_Q7Z304_MAMDC2.pdf</v>
      </c>
    </row>
    <row r="1565" spans="1:28" x14ac:dyDescent="0.25">
      <c r="A1565" t="s">
        <v>1569</v>
      </c>
      <c r="B1565">
        <v>1</v>
      </c>
      <c r="C1565">
        <v>0.73567522586780798</v>
      </c>
      <c r="D1565">
        <v>1.1750178316690401</v>
      </c>
      <c r="E1565">
        <v>1.02133856395625</v>
      </c>
      <c r="F1565">
        <v>0.48787446504992898</v>
      </c>
      <c r="G1565">
        <v>0.36828340466001003</v>
      </c>
      <c r="H1565">
        <v>0.39737874465049899</v>
      </c>
      <c r="I1565">
        <v>0.341179267712791</v>
      </c>
      <c r="J1565">
        <v>0.31933547313361899</v>
      </c>
      <c r="K1565">
        <v>0.28408820732287199</v>
      </c>
      <c r="L1565">
        <v>13183.4221735233</v>
      </c>
      <c r="M1565">
        <v>250</v>
      </c>
      <c r="N1565">
        <v>52.977885239179798</v>
      </c>
      <c r="O1565">
        <v>52.730314099741904</v>
      </c>
      <c r="P1565">
        <v>-0.77984909111572798</v>
      </c>
      <c r="Q1565">
        <v>0.34205300052142701</v>
      </c>
      <c r="R1565">
        <v>0.89537147859253996</v>
      </c>
      <c r="S1565" t="s">
        <v>3439</v>
      </c>
      <c r="T1565" t="s">
        <v>3746</v>
      </c>
      <c r="U1565" t="s">
        <v>3746</v>
      </c>
      <c r="V1565" t="s">
        <v>3746</v>
      </c>
      <c r="W1565" t="s">
        <v>5299</v>
      </c>
      <c r="X1565">
        <v>2</v>
      </c>
      <c r="Y1565" t="s">
        <v>7085</v>
      </c>
      <c r="Z1565" t="s">
        <v>8953</v>
      </c>
      <c r="AA1565">
        <v>0.6213836336984947</v>
      </c>
      <c r="AB1565" t="str">
        <f>HYPERLINK("Melting_Curves/meltCurve_Q7Z404_1_TMC4.pdf", "Melting_Curves/meltCurve_Q7Z404_1_TMC4.pdf")</f>
        <v>Melting_Curves/meltCurve_Q7Z404_1_TMC4.pdf</v>
      </c>
    </row>
    <row r="1566" spans="1:28" x14ac:dyDescent="0.25">
      <c r="A1566" t="s">
        <v>1570</v>
      </c>
      <c r="B1566">
        <v>1</v>
      </c>
      <c r="C1566">
        <v>0.874350433044637</v>
      </c>
      <c r="D1566">
        <v>1.2459693537641601</v>
      </c>
      <c r="E1566">
        <v>1.41405729513658</v>
      </c>
      <c r="F1566">
        <v>1.08227848101266</v>
      </c>
      <c r="G1566">
        <v>1.5224516988674199</v>
      </c>
      <c r="H1566">
        <v>1.0944703530979301</v>
      </c>
      <c r="I1566">
        <v>1.9049300466355801</v>
      </c>
      <c r="J1566">
        <v>1.8964690206529</v>
      </c>
      <c r="K1566">
        <v>1.83131245836109</v>
      </c>
      <c r="L1566">
        <v>769.14137035277702</v>
      </c>
      <c r="M1566">
        <v>15.572243937546901</v>
      </c>
      <c r="O1566">
        <v>48.598802745373497</v>
      </c>
      <c r="P1566">
        <v>4.0056552339110998E-2</v>
      </c>
      <c r="Q1566">
        <v>1.5</v>
      </c>
      <c r="R1566">
        <v>0.44560412983852099</v>
      </c>
      <c r="S1566" t="s">
        <v>3440</v>
      </c>
      <c r="T1566" t="s">
        <v>3746</v>
      </c>
      <c r="U1566" t="s">
        <v>3746</v>
      </c>
      <c r="V1566" t="s">
        <v>3746</v>
      </c>
      <c r="W1566" t="s">
        <v>5300</v>
      </c>
      <c r="X1566">
        <v>3</v>
      </c>
      <c r="Y1566" t="s">
        <v>7086</v>
      </c>
      <c r="Z1566" t="s">
        <v>8954</v>
      </c>
      <c r="AA1566">
        <v>1.332117844836046</v>
      </c>
      <c r="AB1566" t="str">
        <f>HYPERLINK("Melting_Curves/meltCurve_Q7Z451_AP2B1.pdf", "Melting_Curves/meltCurve_Q7Z451_AP2B1.pdf")</f>
        <v>Melting_Curves/meltCurve_Q7Z451_AP2B1.pdf</v>
      </c>
    </row>
    <row r="1567" spans="1:28" x14ac:dyDescent="0.25">
      <c r="A1567" t="s">
        <v>1571</v>
      </c>
      <c r="B1567">
        <v>1</v>
      </c>
      <c r="C1567">
        <v>1.1592729151499499</v>
      </c>
      <c r="D1567">
        <v>1.59829501420821</v>
      </c>
      <c r="E1567">
        <v>1.96336394166412</v>
      </c>
      <c r="F1567">
        <v>1.1870552593879899</v>
      </c>
      <c r="G1567">
        <v>1.3244874474530901</v>
      </c>
      <c r="H1567">
        <v>1.14271623494047</v>
      </c>
      <c r="I1567">
        <v>1.3726544703036601</v>
      </c>
      <c r="J1567">
        <v>1.3631431859280001</v>
      </c>
      <c r="K1567">
        <v>1.2828256734224199</v>
      </c>
      <c r="L1567">
        <v>10743.482223096</v>
      </c>
      <c r="M1567">
        <v>250</v>
      </c>
      <c r="O1567">
        <v>42.971178770228903</v>
      </c>
      <c r="P1567">
        <v>0.58806516352191396</v>
      </c>
      <c r="Q1567">
        <v>1.4043176525627099</v>
      </c>
      <c r="R1567">
        <v>0.27027934626531502</v>
      </c>
      <c r="S1567" t="s">
        <v>3441</v>
      </c>
      <c r="T1567" t="s">
        <v>3746</v>
      </c>
      <c r="U1567" t="s">
        <v>3746</v>
      </c>
      <c r="V1567" t="s">
        <v>3746</v>
      </c>
      <c r="W1567" t="s">
        <v>5301</v>
      </c>
      <c r="X1567">
        <v>3</v>
      </c>
      <c r="Y1567" t="s">
        <v>7087</v>
      </c>
      <c r="Z1567" t="s">
        <v>8955</v>
      </c>
      <c r="AA1567">
        <v>1.364206761195506</v>
      </c>
      <c r="AB1567" t="str">
        <f>HYPERLINK("Melting_Curves/meltCurve_Q7Z553_MDGA2.pdf", "Melting_Curves/meltCurve_Q7Z553_MDGA2.pdf")</f>
        <v>Melting_Curves/meltCurve_Q7Z553_MDGA2.pdf</v>
      </c>
    </row>
    <row r="1568" spans="1:28" x14ac:dyDescent="0.25">
      <c r="A1568" t="s">
        <v>1572</v>
      </c>
      <c r="B1568">
        <v>1</v>
      </c>
      <c r="C1568">
        <v>1.0485023068455901</v>
      </c>
      <c r="D1568">
        <v>1.8679828567413801</v>
      </c>
      <c r="E1568">
        <v>2.31860230918757</v>
      </c>
      <c r="F1568">
        <v>1.9023864727511199</v>
      </c>
      <c r="G1568">
        <v>2.0092976416309498</v>
      </c>
      <c r="H1568">
        <v>1.36003185086302</v>
      </c>
      <c r="I1568">
        <v>2.08262488582871</v>
      </c>
      <c r="J1568">
        <v>1.97194313684161</v>
      </c>
      <c r="K1568">
        <v>1.75343684863814</v>
      </c>
      <c r="L1568">
        <v>10820.706653326901</v>
      </c>
      <c r="M1568">
        <v>250</v>
      </c>
      <c r="O1568">
        <v>43.280043960850797</v>
      </c>
      <c r="P1568">
        <v>0.722041566127685</v>
      </c>
      <c r="Q1568">
        <v>1.5</v>
      </c>
      <c r="R1568">
        <v>-4.5779483671144303E-2</v>
      </c>
      <c r="S1568" t="s">
        <v>3442</v>
      </c>
      <c r="T1568" t="s">
        <v>3746</v>
      </c>
      <c r="U1568" t="s">
        <v>3746</v>
      </c>
      <c r="V1568" t="s">
        <v>3746</v>
      </c>
      <c r="W1568" t="s">
        <v>5302</v>
      </c>
      <c r="X1568">
        <v>1</v>
      </c>
      <c r="Y1568" t="s">
        <v>7088</v>
      </c>
      <c r="Z1568" t="s">
        <v>8956</v>
      </c>
      <c r="AA1568">
        <v>1.445248242764998</v>
      </c>
      <c r="AB1568" t="str">
        <f>HYPERLINK("Melting_Curves/meltCurve_Q7Z6K5_C15orf38.pdf", "Melting_Curves/meltCurve_Q7Z6K5_C15orf38.pdf")</f>
        <v>Melting_Curves/meltCurve_Q7Z6K5_C15orf38.pdf</v>
      </c>
    </row>
    <row r="1569" spans="1:28" x14ac:dyDescent="0.25">
      <c r="A1569" t="s">
        <v>1573</v>
      </c>
      <c r="B1569">
        <v>1</v>
      </c>
      <c r="C1569">
        <v>0.996967006953691</v>
      </c>
      <c r="D1569">
        <v>1.3795309957094199</v>
      </c>
      <c r="E1569">
        <v>2.3602234058292599</v>
      </c>
      <c r="F1569">
        <v>1.94781032697145</v>
      </c>
      <c r="G1569">
        <v>2.0053632194111599</v>
      </c>
      <c r="H1569">
        <v>1.6247595798195</v>
      </c>
      <c r="I1569">
        <v>1.7725255215268501</v>
      </c>
      <c r="J1569">
        <v>1.8747965675395799</v>
      </c>
      <c r="K1569">
        <v>2.2182645361739901</v>
      </c>
      <c r="S1569" t="s">
        <v>3443</v>
      </c>
      <c r="T1569" t="s">
        <v>3746</v>
      </c>
      <c r="U1569" t="s">
        <v>3747</v>
      </c>
      <c r="V1569" t="s">
        <v>3746</v>
      </c>
      <c r="W1569" t="s">
        <v>5303</v>
      </c>
      <c r="X1569">
        <v>2</v>
      </c>
      <c r="Y1569" t="s">
        <v>7089</v>
      </c>
      <c r="Z1569" t="s">
        <v>8957</v>
      </c>
      <c r="AB1569" t="str">
        <f>HYPERLINK("Melting_Curves/meltCurve_Q7Z6Z7_2_HUWE1.pdf", "Melting_Curves/meltCurve_Q7Z6Z7_2_HUWE1.pdf")</f>
        <v>Melting_Curves/meltCurve_Q7Z6Z7_2_HUWE1.pdf</v>
      </c>
    </row>
    <row r="1570" spans="1:28" x14ac:dyDescent="0.25">
      <c r="A1570" t="s">
        <v>1574</v>
      </c>
      <c r="B1570">
        <v>1</v>
      </c>
      <c r="C1570">
        <v>1.0082990672951599</v>
      </c>
      <c r="D1570">
        <v>1.3968257948049301</v>
      </c>
      <c r="E1570">
        <v>1.74313007722395</v>
      </c>
      <c r="F1570">
        <v>1.29397753485107</v>
      </c>
      <c r="G1570">
        <v>1.7176812756995301</v>
      </c>
      <c r="H1570">
        <v>0.55739143516196998</v>
      </c>
      <c r="I1570">
        <v>1.28387323237388</v>
      </c>
      <c r="J1570">
        <v>1.0779009126466801</v>
      </c>
      <c r="K1570">
        <v>1.0011533446996299</v>
      </c>
      <c r="L1570">
        <v>10871.1812461136</v>
      </c>
      <c r="M1570">
        <v>250</v>
      </c>
      <c r="O1570">
        <v>43.481941217395601</v>
      </c>
      <c r="P1570">
        <v>0.37226904734730998</v>
      </c>
      <c r="Q1570">
        <v>1.25899169919312</v>
      </c>
      <c r="R1570">
        <v>8.9524114982352798E-2</v>
      </c>
      <c r="S1570" t="s">
        <v>3444</v>
      </c>
      <c r="T1570" t="s">
        <v>3746</v>
      </c>
      <c r="U1570" t="s">
        <v>3746</v>
      </c>
      <c r="V1570" t="s">
        <v>3746</v>
      </c>
      <c r="W1570" t="s">
        <v>5304</v>
      </c>
      <c r="X1570">
        <v>4</v>
      </c>
      <c r="Y1570" t="s">
        <v>7090</v>
      </c>
      <c r="Z1570" t="s">
        <v>8958</v>
      </c>
      <c r="AA1570">
        <v>1.2288881060723049</v>
      </c>
      <c r="AB1570" t="str">
        <f>HYPERLINK("Melting_Curves/meltCurve_Q7Z7H5_3_TMED4.pdf", "Melting_Curves/meltCurve_Q7Z7H5_3_TMED4.pdf")</f>
        <v>Melting_Curves/meltCurve_Q7Z7H5_3_TMED4.pdf</v>
      </c>
    </row>
    <row r="1571" spans="1:28" x14ac:dyDescent="0.25">
      <c r="A1571" t="s">
        <v>1575</v>
      </c>
      <c r="B1571">
        <v>1</v>
      </c>
      <c r="C1571">
        <v>0.83273766976411701</v>
      </c>
      <c r="D1571">
        <v>1.2966954417990899</v>
      </c>
      <c r="E1571">
        <v>1.3878044757244199</v>
      </c>
      <c r="F1571">
        <v>0.82333534942541398</v>
      </c>
      <c r="G1571">
        <v>0.97467971628086003</v>
      </c>
      <c r="H1571">
        <v>0.50599329191180498</v>
      </c>
      <c r="I1571">
        <v>0.95139385275196597</v>
      </c>
      <c r="J1571">
        <v>0.83523945675482503</v>
      </c>
      <c r="K1571">
        <v>0.82974102380821502</v>
      </c>
      <c r="L1571">
        <v>14366.0889045647</v>
      </c>
      <c r="M1571">
        <v>250</v>
      </c>
      <c r="O1571">
        <v>57.460669936394901</v>
      </c>
      <c r="P1571">
        <v>-0.23865021336874001</v>
      </c>
      <c r="Q1571">
        <v>0.78059195007283899</v>
      </c>
      <c r="R1571">
        <v>0.28388034718146299</v>
      </c>
      <c r="S1571" t="s">
        <v>3445</v>
      </c>
      <c r="T1571" t="s">
        <v>3746</v>
      </c>
      <c r="U1571" t="s">
        <v>3746</v>
      </c>
      <c r="V1571" t="s">
        <v>3746</v>
      </c>
      <c r="W1571" t="s">
        <v>5305</v>
      </c>
      <c r="X1571">
        <v>3</v>
      </c>
      <c r="Y1571" t="s">
        <v>7091</v>
      </c>
      <c r="Z1571" t="s">
        <v>8959</v>
      </c>
      <c r="AA1571">
        <v>0.9083414174807396</v>
      </c>
      <c r="AB1571" t="str">
        <f>HYPERLINK("Melting_Curves/meltCurve_Q7Z7M0_2_MEGF8.pdf", "Melting_Curves/meltCurve_Q7Z7M0_2_MEGF8.pdf")</f>
        <v>Melting_Curves/meltCurve_Q7Z7M0_2_MEGF8.pdf</v>
      </c>
    </row>
    <row r="1572" spans="1:28" x14ac:dyDescent="0.25">
      <c r="A1572" t="s">
        <v>1576</v>
      </c>
      <c r="B1572">
        <v>1</v>
      </c>
      <c r="C1572">
        <v>1.0266145935431299</v>
      </c>
      <c r="D1572">
        <v>1.5058883845771101</v>
      </c>
      <c r="E1572">
        <v>1.7740549180451499</v>
      </c>
      <c r="F1572">
        <v>1.57651884132274</v>
      </c>
      <c r="G1572">
        <v>1.7520394468989899</v>
      </c>
      <c r="H1572">
        <v>0.89829153912269899</v>
      </c>
      <c r="I1572">
        <v>1.54032902574001</v>
      </c>
      <c r="J1572">
        <v>1.62824011942639</v>
      </c>
      <c r="K1572">
        <v>1.3219687259677</v>
      </c>
      <c r="L1572">
        <v>10848.455133097999</v>
      </c>
      <c r="M1572">
        <v>250</v>
      </c>
      <c r="O1572">
        <v>43.391043694231101</v>
      </c>
      <c r="P1572">
        <v>0.71971422135299801</v>
      </c>
      <c r="Q1572">
        <v>1.4996664181274599</v>
      </c>
      <c r="R1572">
        <v>0.40509024239104602</v>
      </c>
      <c r="S1572" t="s">
        <v>3446</v>
      </c>
      <c r="T1572" t="s">
        <v>3746</v>
      </c>
      <c r="U1572" t="s">
        <v>3746</v>
      </c>
      <c r="V1572" t="s">
        <v>3746</v>
      </c>
      <c r="W1572" t="s">
        <v>5306</v>
      </c>
      <c r="X1572">
        <v>2</v>
      </c>
      <c r="Y1572" t="s">
        <v>7092</v>
      </c>
      <c r="Z1572" t="s">
        <v>8960</v>
      </c>
      <c r="AA1572">
        <v>1.443102427483965</v>
      </c>
      <c r="AB1572" t="str">
        <f>HYPERLINK("Melting_Curves/meltCurve_Q7Z7M9_GALNT5.pdf", "Melting_Curves/meltCurve_Q7Z7M9_GALNT5.pdf")</f>
        <v>Melting_Curves/meltCurve_Q7Z7M9_GALNT5.pdf</v>
      </c>
    </row>
    <row r="1573" spans="1:28" x14ac:dyDescent="0.25">
      <c r="A1573" t="s">
        <v>1577</v>
      </c>
      <c r="B1573">
        <v>1</v>
      </c>
      <c r="C1573">
        <v>0.97296315516346699</v>
      </c>
      <c r="D1573">
        <v>1.2168137000518899</v>
      </c>
      <c r="E1573">
        <v>1.2922158796056</v>
      </c>
      <c r="F1573">
        <v>0.86331084587441598</v>
      </c>
      <c r="G1573">
        <v>0.96066424494032199</v>
      </c>
      <c r="H1573">
        <v>0.56621691748832403</v>
      </c>
      <c r="I1573">
        <v>0.90887389724961098</v>
      </c>
      <c r="J1573">
        <v>0.89289050337311904</v>
      </c>
      <c r="K1573">
        <v>0.82309289050337298</v>
      </c>
      <c r="L1573">
        <v>14330.994920122899</v>
      </c>
      <c r="M1573">
        <v>250</v>
      </c>
      <c r="O1573">
        <v>57.320316106900897</v>
      </c>
      <c r="P1573">
        <v>-0.22050585320957999</v>
      </c>
      <c r="Q1573">
        <v>0.79776857373225696</v>
      </c>
      <c r="R1573">
        <v>0.38072218617064701</v>
      </c>
      <c r="S1573" t="s">
        <v>3447</v>
      </c>
      <c r="T1573" t="s">
        <v>3746</v>
      </c>
      <c r="U1573" t="s">
        <v>3746</v>
      </c>
      <c r="V1573" t="s">
        <v>3746</v>
      </c>
      <c r="W1573" t="s">
        <v>5307</v>
      </c>
      <c r="X1573">
        <v>10</v>
      </c>
      <c r="Y1573" t="s">
        <v>7093</v>
      </c>
      <c r="Z1573" t="s">
        <v>8961</v>
      </c>
      <c r="AA1573">
        <v>0.91457068940549002</v>
      </c>
      <c r="AB1573" t="str">
        <f>HYPERLINK("Melting_Curves/meltCurve_Q86SQ4_2_GPR126.pdf", "Melting_Curves/meltCurve_Q86SQ4_2_GPR126.pdf")</f>
        <v>Melting_Curves/meltCurve_Q86SQ4_2_GPR126.pdf</v>
      </c>
    </row>
    <row r="1574" spans="1:28" x14ac:dyDescent="0.25">
      <c r="A1574" t="s">
        <v>1578</v>
      </c>
      <c r="B1574">
        <v>1</v>
      </c>
      <c r="C1574">
        <v>0.96284588225634304</v>
      </c>
      <c r="D1574">
        <v>1.4437556449626401</v>
      </c>
      <c r="E1574">
        <v>1.7192298218244499</v>
      </c>
      <c r="F1574">
        <v>1.3133262172592199</v>
      </c>
      <c r="G1574">
        <v>1.50582970687249</v>
      </c>
      <c r="H1574">
        <v>0.82966581821167595</v>
      </c>
      <c r="I1574">
        <v>1.3820921257902901</v>
      </c>
      <c r="J1574">
        <v>1.45488135314886</v>
      </c>
      <c r="K1574">
        <v>1.19763527383201</v>
      </c>
      <c r="L1574">
        <v>11081.4903411593</v>
      </c>
      <c r="M1574">
        <v>250</v>
      </c>
      <c r="O1574">
        <v>44.323149618376597</v>
      </c>
      <c r="P1574">
        <v>0.50172795057984299</v>
      </c>
      <c r="Q1574">
        <v>1.3558104104095099</v>
      </c>
      <c r="R1574">
        <v>0.31871415286796601</v>
      </c>
      <c r="S1574" t="s">
        <v>3448</v>
      </c>
      <c r="T1574" t="s">
        <v>3746</v>
      </c>
      <c r="U1574" t="s">
        <v>3746</v>
      </c>
      <c r="V1574" t="s">
        <v>3746</v>
      </c>
      <c r="W1574" t="s">
        <v>5308</v>
      </c>
      <c r="X1574">
        <v>8</v>
      </c>
      <c r="Y1574" t="s">
        <v>7094</v>
      </c>
      <c r="Z1574" t="s">
        <v>8962</v>
      </c>
      <c r="AA1574">
        <v>1.30447532847715</v>
      </c>
      <c r="AB1574" t="str">
        <f>HYPERLINK("Melting_Curves/meltCurve_Q86UP2_2_KTN1.pdf", "Melting_Curves/meltCurve_Q86UP2_2_KTN1.pdf")</f>
        <v>Melting_Curves/meltCurve_Q86UP2_2_KTN1.pdf</v>
      </c>
    </row>
    <row r="1575" spans="1:28" x14ac:dyDescent="0.25">
      <c r="A1575" t="s">
        <v>1579</v>
      </c>
      <c r="B1575">
        <v>1</v>
      </c>
      <c r="C1575">
        <v>0.90658087890808003</v>
      </c>
      <c r="D1575">
        <v>1.9411562607364801</v>
      </c>
      <c r="E1575">
        <v>2.2377174625979901</v>
      </c>
      <c r="F1575">
        <v>1.83933535309367</v>
      </c>
      <c r="G1575">
        <v>2.0106505918730702</v>
      </c>
      <c r="H1575">
        <v>1.1942717931099101</v>
      </c>
      <c r="I1575">
        <v>1.71830589999063</v>
      </c>
      <c r="J1575">
        <v>1.7798357122778501</v>
      </c>
      <c r="K1575">
        <v>1.58415841584158</v>
      </c>
      <c r="L1575">
        <v>11066.1170569199</v>
      </c>
      <c r="M1575">
        <v>250</v>
      </c>
      <c r="O1575">
        <v>44.261636214635303</v>
      </c>
      <c r="P1575">
        <v>0.70602903883302803</v>
      </c>
      <c r="Q1575">
        <v>1.5</v>
      </c>
      <c r="R1575">
        <v>0.24850944888089199</v>
      </c>
      <c r="S1575" t="s">
        <v>3449</v>
      </c>
      <c r="T1575" t="s">
        <v>3746</v>
      </c>
      <c r="U1575" t="s">
        <v>3746</v>
      </c>
      <c r="V1575" t="s">
        <v>3746</v>
      </c>
      <c r="W1575" t="s">
        <v>5309</v>
      </c>
      <c r="X1575">
        <v>8</v>
      </c>
      <c r="Y1575" t="s">
        <v>7095</v>
      </c>
      <c r="Z1575" t="s">
        <v>8963</v>
      </c>
      <c r="AA1575">
        <v>1.4288866878122499</v>
      </c>
      <c r="AB1575" t="str">
        <f>HYPERLINK("Melting_Curves/meltCurve_Q86UY0_TXNDC5.pdf", "Melting_Curves/meltCurve_Q86UY0_TXNDC5.pdf")</f>
        <v>Melting_Curves/meltCurve_Q86UY0_TXNDC5.pdf</v>
      </c>
    </row>
    <row r="1576" spans="1:28" x14ac:dyDescent="0.25">
      <c r="A1576" t="s">
        <v>1580</v>
      </c>
      <c r="B1576">
        <v>1</v>
      </c>
      <c r="C1576">
        <v>0.86102503537225605</v>
      </c>
      <c r="D1576">
        <v>1.66805037477052</v>
      </c>
      <c r="E1576">
        <v>2.2116722599656198</v>
      </c>
      <c r="F1576">
        <v>1.1555209953343699</v>
      </c>
      <c r="G1576">
        <v>1.28275587881056</v>
      </c>
      <c r="H1576">
        <v>0.78303067154667405</v>
      </c>
      <c r="I1576">
        <v>1.7003239046293801</v>
      </c>
      <c r="J1576">
        <v>1.7280370443994899</v>
      </c>
      <c r="K1576">
        <v>1.1196342333282701</v>
      </c>
      <c r="L1576">
        <v>11091.3400800498</v>
      </c>
      <c r="M1576">
        <v>250</v>
      </c>
      <c r="O1576">
        <v>44.362513026200801</v>
      </c>
      <c r="P1576">
        <v>0.64283704609425996</v>
      </c>
      <c r="Q1576">
        <v>1.45628595340068</v>
      </c>
      <c r="R1576">
        <v>0.22901940942353399</v>
      </c>
      <c r="S1576" t="s">
        <v>3450</v>
      </c>
      <c r="T1576" t="s">
        <v>3746</v>
      </c>
      <c r="U1576" t="s">
        <v>3746</v>
      </c>
      <c r="V1576" t="s">
        <v>3746</v>
      </c>
      <c r="W1576" t="s">
        <v>5310</v>
      </c>
      <c r="X1576">
        <v>1</v>
      </c>
      <c r="Y1576" t="s">
        <v>7096</v>
      </c>
      <c r="Z1576" t="s">
        <v>8964</v>
      </c>
      <c r="AA1576">
        <v>1.389855340219178</v>
      </c>
      <c r="AB1576" t="str">
        <f>HYPERLINK("Melting_Curves/meltCurve_Q86V85_GPR180.pdf", "Melting_Curves/meltCurve_Q86V85_GPR180.pdf")</f>
        <v>Melting_Curves/meltCurve_Q86V85_GPR180.pdf</v>
      </c>
    </row>
    <row r="1577" spans="1:28" x14ac:dyDescent="0.25">
      <c r="A1577" t="s">
        <v>1581</v>
      </c>
      <c r="B1577">
        <v>1</v>
      </c>
      <c r="C1577">
        <v>1.0930891238670699</v>
      </c>
      <c r="D1577">
        <v>1.7226680513595201</v>
      </c>
      <c r="E1577">
        <v>2.66186744712991</v>
      </c>
      <c r="F1577">
        <v>2.3707515105740198</v>
      </c>
      <c r="G1577">
        <v>2.9334875377643499</v>
      </c>
      <c r="H1577">
        <v>2.5131703172205402</v>
      </c>
      <c r="I1577">
        <v>3.8317598187311201</v>
      </c>
      <c r="J1577">
        <v>3.9839501510574</v>
      </c>
      <c r="K1577">
        <v>3.7411253776434998</v>
      </c>
      <c r="L1577">
        <v>10788.278931903</v>
      </c>
      <c r="M1577">
        <v>250</v>
      </c>
      <c r="O1577">
        <v>43.150354355964097</v>
      </c>
      <c r="P1577">
        <v>0.72421190058670804</v>
      </c>
      <c r="Q1577">
        <v>1.5</v>
      </c>
      <c r="R1577">
        <v>-1.08113508912477</v>
      </c>
      <c r="S1577" t="s">
        <v>3451</v>
      </c>
      <c r="T1577" t="s">
        <v>3746</v>
      </c>
      <c r="U1577" t="s">
        <v>3746</v>
      </c>
      <c r="V1577" t="s">
        <v>3746</v>
      </c>
      <c r="W1577" t="s">
        <v>5311</v>
      </c>
      <c r="X1577">
        <v>11</v>
      </c>
      <c r="Y1577" t="s">
        <v>7097</v>
      </c>
      <c r="Z1577" t="s">
        <v>8965</v>
      </c>
      <c r="AA1577">
        <v>1.4474102046764421</v>
      </c>
      <c r="AB1577" t="str">
        <f>HYPERLINK("Melting_Curves/meltCurve_Q86VP6_CAND1.pdf", "Melting_Curves/meltCurve_Q86VP6_CAND1.pdf")</f>
        <v>Melting_Curves/meltCurve_Q86VP6_CAND1.pdf</v>
      </c>
    </row>
    <row r="1578" spans="1:28" x14ac:dyDescent="0.25">
      <c r="A1578" t="s">
        <v>1582</v>
      </c>
      <c r="B1578">
        <v>1</v>
      </c>
      <c r="C1578">
        <v>1.37817652457356</v>
      </c>
      <c r="D1578">
        <v>1.9332890281338</v>
      </c>
      <c r="E1578">
        <v>2.3795373271306102</v>
      </c>
      <c r="F1578">
        <v>2.13478274628944</v>
      </c>
      <c r="G1578">
        <v>2.27424918510079</v>
      </c>
      <c r="H1578">
        <v>1.47529985126112</v>
      </c>
      <c r="I1578">
        <v>3.1896579005664698</v>
      </c>
      <c r="J1578">
        <v>3.1027247697711999</v>
      </c>
      <c r="K1578">
        <v>2.7803411500363899</v>
      </c>
      <c r="S1578" t="s">
        <v>3452</v>
      </c>
      <c r="T1578" t="s">
        <v>3746</v>
      </c>
      <c r="U1578" t="s">
        <v>3747</v>
      </c>
      <c r="V1578" t="s">
        <v>3746</v>
      </c>
      <c r="W1578" t="s">
        <v>5312</v>
      </c>
      <c r="X1578">
        <v>2</v>
      </c>
      <c r="Y1578" t="s">
        <v>7098</v>
      </c>
      <c r="Z1578" t="s">
        <v>8966</v>
      </c>
      <c r="AB1578" t="str">
        <f>HYPERLINK("Melting_Curves/meltCurve_Q86WR0_CCDC25.pdf", "Melting_Curves/meltCurve_Q86WR0_CCDC25.pdf")</f>
        <v>Melting_Curves/meltCurve_Q86WR0_CCDC25.pdf</v>
      </c>
    </row>
    <row r="1579" spans="1:28" x14ac:dyDescent="0.25">
      <c r="A1579" t="s">
        <v>1583</v>
      </c>
      <c r="B1579">
        <v>1</v>
      </c>
      <c r="C1579">
        <v>0.80793657651430095</v>
      </c>
      <c r="D1579">
        <v>1.35297675624298</v>
      </c>
      <c r="E1579">
        <v>1.70651516460728</v>
      </c>
      <c r="F1579">
        <v>0.73338805841182098</v>
      </c>
      <c r="G1579">
        <v>0.88298194072409897</v>
      </c>
      <c r="H1579">
        <v>0.52566318154324698</v>
      </c>
      <c r="I1579">
        <v>0.83118033353495202</v>
      </c>
      <c r="J1579">
        <v>0.82848008295169795</v>
      </c>
      <c r="K1579">
        <v>0.75978570811371304</v>
      </c>
      <c r="L1579">
        <v>12949.195975398699</v>
      </c>
      <c r="M1579">
        <v>250</v>
      </c>
      <c r="O1579">
        <v>51.793469585839603</v>
      </c>
      <c r="P1579">
        <v>-0.289442359819648</v>
      </c>
      <c r="Q1579">
        <v>0.76014041686897404</v>
      </c>
      <c r="R1579">
        <v>0.29635643306595</v>
      </c>
      <c r="S1579" t="s">
        <v>3453</v>
      </c>
      <c r="T1579" t="s">
        <v>3746</v>
      </c>
      <c r="U1579" t="s">
        <v>3746</v>
      </c>
      <c r="V1579" t="s">
        <v>3746</v>
      </c>
      <c r="W1579" t="s">
        <v>5313</v>
      </c>
      <c r="X1579">
        <v>1</v>
      </c>
      <c r="Y1579" t="s">
        <v>7099</v>
      </c>
      <c r="Z1579" t="s">
        <v>8967</v>
      </c>
      <c r="AA1579">
        <v>0.85448127634740689</v>
      </c>
      <c r="AB1579" t="str">
        <f>HYPERLINK("Melting_Curves/meltCurve_Q86X27_2_RALGPS2.pdf", "Melting_Curves/meltCurve_Q86X27_2_RALGPS2.pdf")</f>
        <v>Melting_Curves/meltCurve_Q86X27_2_RALGPS2.pdf</v>
      </c>
    </row>
    <row r="1580" spans="1:28" x14ac:dyDescent="0.25">
      <c r="A1580" t="s">
        <v>1584</v>
      </c>
      <c r="B1580">
        <v>1</v>
      </c>
      <c r="C1580">
        <v>1.0352090371621601</v>
      </c>
      <c r="D1580">
        <v>1.33416913006757</v>
      </c>
      <c r="E1580">
        <v>1.9117662584459501</v>
      </c>
      <c r="F1580">
        <v>1.4820787584459501</v>
      </c>
      <c r="G1580">
        <v>2.0385346283783798</v>
      </c>
      <c r="H1580">
        <v>2.3597709037162198</v>
      </c>
      <c r="I1580">
        <v>2.8164590371621601</v>
      </c>
      <c r="J1580">
        <v>3.1118032094594601</v>
      </c>
      <c r="K1580">
        <v>3.0030616554054101</v>
      </c>
      <c r="L1580">
        <v>6749.4697941426002</v>
      </c>
      <c r="M1580">
        <v>147.428389433913</v>
      </c>
      <c r="O1580">
        <v>45.772922357375101</v>
      </c>
      <c r="P1580">
        <v>0.40260810161221999</v>
      </c>
      <c r="Q1580">
        <v>1.5</v>
      </c>
      <c r="R1580">
        <v>-0.369378349718327</v>
      </c>
      <c r="S1580" t="s">
        <v>3454</v>
      </c>
      <c r="T1580" t="s">
        <v>3746</v>
      </c>
      <c r="U1580" t="s">
        <v>3746</v>
      </c>
      <c r="V1580" t="s">
        <v>3746</v>
      </c>
      <c r="W1580" t="s">
        <v>5314</v>
      </c>
      <c r="X1580">
        <v>15</v>
      </c>
      <c r="Y1580" t="s">
        <v>7100</v>
      </c>
      <c r="Z1580" t="s">
        <v>8968</v>
      </c>
      <c r="AA1580">
        <v>1.403528702727052</v>
      </c>
      <c r="AB1580" t="str">
        <f>HYPERLINK("Melting_Curves/meltCurve_Q86Y38_XYLT1.pdf", "Melting_Curves/meltCurve_Q86Y38_XYLT1.pdf")</f>
        <v>Melting_Curves/meltCurve_Q86Y38_XYLT1.pdf</v>
      </c>
    </row>
    <row r="1581" spans="1:28" x14ac:dyDescent="0.25">
      <c r="A1581" t="s">
        <v>1585</v>
      </c>
      <c r="B1581">
        <v>1</v>
      </c>
      <c r="C1581">
        <v>1.05792682926829</v>
      </c>
      <c r="D1581">
        <v>1.5029825026511101</v>
      </c>
      <c r="E1581">
        <v>1.85319459172853</v>
      </c>
      <c r="F1581">
        <v>1.4284862142099699</v>
      </c>
      <c r="G1581">
        <v>1.4775980911983</v>
      </c>
      <c r="H1581">
        <v>1.13162778366914</v>
      </c>
      <c r="I1581">
        <v>1.4517497348886499</v>
      </c>
      <c r="J1581">
        <v>1.4964209968186599</v>
      </c>
      <c r="K1581">
        <v>1.3594247083775199</v>
      </c>
      <c r="L1581">
        <v>10808.4022585578</v>
      </c>
      <c r="M1581">
        <v>250</v>
      </c>
      <c r="O1581">
        <v>43.2308437758618</v>
      </c>
      <c r="P1581">
        <v>0.66891709588145298</v>
      </c>
      <c r="Q1581">
        <v>1.46268559195578</v>
      </c>
      <c r="R1581">
        <v>0.52210539234314102</v>
      </c>
      <c r="S1581" t="s">
        <v>3455</v>
      </c>
      <c r="T1581" t="s">
        <v>3746</v>
      </c>
      <c r="U1581" t="s">
        <v>3746</v>
      </c>
      <c r="V1581" t="s">
        <v>3746</v>
      </c>
      <c r="W1581" t="s">
        <v>5315</v>
      </c>
      <c r="X1581">
        <v>5</v>
      </c>
      <c r="Y1581" t="s">
        <v>7101</v>
      </c>
      <c r="Z1581" t="s">
        <v>8969</v>
      </c>
      <c r="AA1581">
        <v>1.4127790089962711</v>
      </c>
      <c r="AB1581" t="str">
        <f>HYPERLINK("Melting_Curves/meltCurve_Q86Y82_STX12.pdf", "Melting_Curves/meltCurve_Q86Y82_STX12.pdf")</f>
        <v>Melting_Curves/meltCurve_Q86Y82_STX12.pdf</v>
      </c>
    </row>
    <row r="1582" spans="1:28" x14ac:dyDescent="0.25">
      <c r="A1582" t="s">
        <v>1586</v>
      </c>
      <c r="B1582">
        <v>1</v>
      </c>
      <c r="C1582">
        <v>1.16235954480738</v>
      </c>
      <c r="D1582">
        <v>2.3355765192719402</v>
      </c>
      <c r="E1582">
        <v>3.8458859560171699</v>
      </c>
      <c r="F1582">
        <v>3.20417089184566</v>
      </c>
      <c r="G1582">
        <v>3.7571828042897102</v>
      </c>
      <c r="H1582">
        <v>2.8878714316442902</v>
      </c>
      <c r="I1582">
        <v>4.3452252916653897</v>
      </c>
      <c r="J1582">
        <v>4.4457077302850596</v>
      </c>
      <c r="K1582">
        <v>4.1154779829763699</v>
      </c>
      <c r="L1582">
        <v>10756.4098872787</v>
      </c>
      <c r="M1582">
        <v>250</v>
      </c>
      <c r="O1582">
        <v>43.022886445427602</v>
      </c>
      <c r="P1582">
        <v>0.72635759246869303</v>
      </c>
      <c r="Q1582">
        <v>1.5</v>
      </c>
      <c r="R1582">
        <v>-1.8016195803985999</v>
      </c>
      <c r="S1582" t="s">
        <v>3456</v>
      </c>
      <c r="T1582" t="s">
        <v>3746</v>
      </c>
      <c r="U1582" t="s">
        <v>3746</v>
      </c>
      <c r="V1582" t="s">
        <v>3746</v>
      </c>
      <c r="W1582" t="s">
        <v>5316</v>
      </c>
      <c r="X1582">
        <v>8</v>
      </c>
      <c r="Y1582" t="s">
        <v>7102</v>
      </c>
      <c r="Z1582" t="s">
        <v>8970</v>
      </c>
      <c r="AA1582">
        <v>1.449534919502447</v>
      </c>
      <c r="AB1582" t="str">
        <f>HYPERLINK("Melting_Curves/meltCurve_Q8IUX7_AEBP1.pdf", "Melting_Curves/meltCurve_Q8IUX7_AEBP1.pdf")</f>
        <v>Melting_Curves/meltCurve_Q8IUX7_AEBP1.pdf</v>
      </c>
    </row>
    <row r="1583" spans="1:28" x14ac:dyDescent="0.25">
      <c r="A1583" t="s">
        <v>1587</v>
      </c>
      <c r="B1583">
        <v>1</v>
      </c>
      <c r="C1583">
        <v>1.0005474481097401</v>
      </c>
      <c r="D1583">
        <v>1.42691567734973</v>
      </c>
      <c r="E1583">
        <v>1.7013123113259201</v>
      </c>
      <c r="F1583">
        <v>1.57962241721803</v>
      </c>
      <c r="G1583">
        <v>1.7516775374219899</v>
      </c>
      <c r="H1583">
        <v>1.0187383667276699</v>
      </c>
      <c r="I1583">
        <v>1.7063175511863999</v>
      </c>
      <c r="J1583">
        <v>1.5447108691911799</v>
      </c>
      <c r="K1583">
        <v>1.4556175996746601</v>
      </c>
      <c r="L1583">
        <v>11367.335122922301</v>
      </c>
      <c r="M1583">
        <v>248.88095106430401</v>
      </c>
      <c r="O1583">
        <v>45.670838888998098</v>
      </c>
      <c r="P1583">
        <v>0.68118128659062904</v>
      </c>
      <c r="Q1583">
        <v>1.5</v>
      </c>
      <c r="R1583">
        <v>0.53029105913227204</v>
      </c>
      <c r="S1583" t="s">
        <v>3457</v>
      </c>
      <c r="T1583" t="s">
        <v>3746</v>
      </c>
      <c r="U1583" t="s">
        <v>3746</v>
      </c>
      <c r="V1583" t="s">
        <v>3746</v>
      </c>
      <c r="W1583" t="s">
        <v>5317</v>
      </c>
      <c r="X1583">
        <v>3</v>
      </c>
      <c r="Y1583" t="s">
        <v>7103</v>
      </c>
      <c r="Z1583" t="s">
        <v>8971</v>
      </c>
      <c r="AA1583">
        <v>1.405396472057481</v>
      </c>
      <c r="AB1583" t="str">
        <f>HYPERLINK("Melting_Curves/meltCurve_Q8IV08_PLD3.pdf", "Melting_Curves/meltCurve_Q8IV08_PLD3.pdf")</f>
        <v>Melting_Curves/meltCurve_Q8IV08_PLD3.pdf</v>
      </c>
    </row>
    <row r="1584" spans="1:28" x14ac:dyDescent="0.25">
      <c r="A1584" t="s">
        <v>1588</v>
      </c>
      <c r="B1584">
        <v>1</v>
      </c>
      <c r="C1584">
        <v>0.74844539341176997</v>
      </c>
      <c r="D1584">
        <v>1.2080256221177901</v>
      </c>
      <c r="E1584">
        <v>1.32171826676499</v>
      </c>
      <c r="F1584">
        <v>0.64995212362011501</v>
      </c>
      <c r="G1584">
        <v>1.20615459117974</v>
      </c>
      <c r="H1584">
        <v>0.54942273192529101</v>
      </c>
      <c r="I1584">
        <v>0.97618287676509796</v>
      </c>
      <c r="J1584">
        <v>0.68979407653617097</v>
      </c>
      <c r="K1584">
        <v>0.60918566129937601</v>
      </c>
      <c r="L1584">
        <v>843.09440886061805</v>
      </c>
      <c r="M1584">
        <v>12.744028172234099</v>
      </c>
      <c r="O1584">
        <v>64.590553258737202</v>
      </c>
      <c r="P1584">
        <v>-2.7249360191053E-2</v>
      </c>
      <c r="Q1584">
        <v>0.44767373790973802</v>
      </c>
      <c r="R1584">
        <v>0.26201522427681401</v>
      </c>
      <c r="S1584" t="s">
        <v>3458</v>
      </c>
      <c r="T1584" t="s">
        <v>3746</v>
      </c>
      <c r="U1584" t="s">
        <v>3746</v>
      </c>
      <c r="V1584" t="s">
        <v>3746</v>
      </c>
      <c r="W1584" t="s">
        <v>5318</v>
      </c>
      <c r="X1584">
        <v>1</v>
      </c>
      <c r="Y1584" t="s">
        <v>7104</v>
      </c>
      <c r="Z1584" t="s">
        <v>8972</v>
      </c>
      <c r="AA1584">
        <v>0.90210686441595045</v>
      </c>
      <c r="AB1584" t="str">
        <f>HYPERLINK("Melting_Curves/meltCurve_Q8IVY1_C1orf210.pdf", "Melting_Curves/meltCurve_Q8IVY1_C1orf210.pdf")</f>
        <v>Melting_Curves/meltCurve_Q8IVY1_C1orf210.pdf</v>
      </c>
    </row>
    <row r="1585" spans="1:28" x14ac:dyDescent="0.25">
      <c r="A1585" t="s">
        <v>1589</v>
      </c>
      <c r="B1585">
        <v>1</v>
      </c>
      <c r="C1585">
        <v>0.99731551290838505</v>
      </c>
      <c r="D1585">
        <v>1.5816769476810599</v>
      </c>
      <c r="E1585">
        <v>2.1011823166552399</v>
      </c>
      <c r="F1585">
        <v>1.6092643363034</v>
      </c>
      <c r="G1585">
        <v>1.7413182545122201</v>
      </c>
      <c r="H1585">
        <v>1.4179232350925299</v>
      </c>
      <c r="I1585">
        <v>1.7914096413068299</v>
      </c>
      <c r="J1585">
        <v>1.5923577793008901</v>
      </c>
      <c r="K1585">
        <v>1.30528901073795</v>
      </c>
      <c r="L1585">
        <v>11027.958413603301</v>
      </c>
      <c r="M1585">
        <v>250</v>
      </c>
      <c r="O1585">
        <v>44.109010801856599</v>
      </c>
      <c r="P1585">
        <v>0.70847202141210597</v>
      </c>
      <c r="Q1585">
        <v>1.5</v>
      </c>
      <c r="R1585">
        <v>0.46491063829531099</v>
      </c>
      <c r="S1585" t="s">
        <v>3459</v>
      </c>
      <c r="T1585" t="s">
        <v>3746</v>
      </c>
      <c r="U1585" t="s">
        <v>3746</v>
      </c>
      <c r="V1585" t="s">
        <v>3746</v>
      </c>
      <c r="W1585" t="s">
        <v>5319</v>
      </c>
      <c r="X1585">
        <v>3</v>
      </c>
      <c r="Y1585" t="s">
        <v>7105</v>
      </c>
      <c r="Z1585" t="s">
        <v>8973</v>
      </c>
      <c r="AA1585">
        <v>1.43143073130232</v>
      </c>
      <c r="AB1585" t="str">
        <f>HYPERLINK("Melting_Curves/meltCurve_Q8IXL6_FAM20C.pdf", "Melting_Curves/meltCurve_Q8IXL6_FAM20C.pdf")</f>
        <v>Melting_Curves/meltCurve_Q8IXL6_FAM20C.pdf</v>
      </c>
    </row>
    <row r="1586" spans="1:28" x14ac:dyDescent="0.25">
      <c r="A1586" t="s">
        <v>1590</v>
      </c>
      <c r="B1586">
        <v>1</v>
      </c>
      <c r="C1586">
        <v>0.96638680131517196</v>
      </c>
      <c r="D1586">
        <v>1.46571160169093</v>
      </c>
      <c r="E1586">
        <v>2.1383865664631299</v>
      </c>
      <c r="F1586">
        <v>1.0570690465007</v>
      </c>
      <c r="G1586">
        <v>1.2105448567402499</v>
      </c>
      <c r="H1586">
        <v>0.42320338186942202</v>
      </c>
      <c r="I1586">
        <v>1.5184065288868001</v>
      </c>
      <c r="J1586">
        <v>2.34570220760921</v>
      </c>
      <c r="K1586">
        <v>1.48931423203382</v>
      </c>
      <c r="L1586">
        <v>11128.1323508645</v>
      </c>
      <c r="M1586">
        <v>250</v>
      </c>
      <c r="O1586">
        <v>44.5096685919154</v>
      </c>
      <c r="P1586">
        <v>0.640393200863416</v>
      </c>
      <c r="Q1586">
        <v>1.4560591523136801</v>
      </c>
      <c r="R1586">
        <v>0.122877928233092</v>
      </c>
      <c r="S1586" t="s">
        <v>3460</v>
      </c>
      <c r="T1586" t="s">
        <v>3746</v>
      </c>
      <c r="U1586" t="s">
        <v>3746</v>
      </c>
      <c r="V1586" t="s">
        <v>3746</v>
      </c>
      <c r="W1586" t="s">
        <v>5320</v>
      </c>
      <c r="X1586">
        <v>1</v>
      </c>
      <c r="Y1586" t="s">
        <v>7106</v>
      </c>
      <c r="Z1586" t="s">
        <v>8974</v>
      </c>
      <c r="AA1586">
        <v>1.387424181037255</v>
      </c>
      <c r="AB1586" t="str">
        <f>HYPERLINK("Melting_Curves/meltCurve_Q8IZ07_ANKRD13A.pdf", "Melting_Curves/meltCurve_Q8IZ07_ANKRD13A.pdf")</f>
        <v>Melting_Curves/meltCurve_Q8IZ07_ANKRD13A.pdf</v>
      </c>
    </row>
    <row r="1587" spans="1:28" x14ac:dyDescent="0.25">
      <c r="A1587" t="s">
        <v>1591</v>
      </c>
      <c r="B1587">
        <v>1</v>
      </c>
      <c r="C1587">
        <v>0.90324147140949396</v>
      </c>
      <c r="D1587">
        <v>1.0883412245558699</v>
      </c>
      <c r="E1587">
        <v>1.2358463842013701</v>
      </c>
      <c r="F1587">
        <v>0.89106066124398098</v>
      </c>
      <c r="G1587">
        <v>1.1163854154020501</v>
      </c>
      <c r="H1587">
        <v>0.50742584274209901</v>
      </c>
      <c r="I1587">
        <v>0.86459471490429396</v>
      </c>
      <c r="J1587">
        <v>0.97992796730201104</v>
      </c>
      <c r="K1587">
        <v>0.86653716968151895</v>
      </c>
      <c r="L1587">
        <v>3887.20011770054</v>
      </c>
      <c r="M1587">
        <v>66.439587607868305</v>
      </c>
      <c r="O1587">
        <v>58.454350625815898</v>
      </c>
      <c r="P1587">
        <v>-5.35166556982761E-2</v>
      </c>
      <c r="Q1587">
        <v>0.81166165235173704</v>
      </c>
      <c r="R1587">
        <v>0.31153435433823901</v>
      </c>
      <c r="S1587" t="s">
        <v>3461</v>
      </c>
      <c r="T1587" t="s">
        <v>3746</v>
      </c>
      <c r="U1587" t="s">
        <v>3746</v>
      </c>
      <c r="V1587" t="s">
        <v>3746</v>
      </c>
      <c r="W1587" t="s">
        <v>5321</v>
      </c>
      <c r="X1587">
        <v>1</v>
      </c>
      <c r="Y1587" t="s">
        <v>7107</v>
      </c>
      <c r="Z1587" t="s">
        <v>8975</v>
      </c>
      <c r="AA1587">
        <v>0.92812385133776243</v>
      </c>
      <c r="AB1587" t="str">
        <f>HYPERLINK("Melting_Curves/meltCurve_Q8IZ21_3_PHACTR4.pdf", "Melting_Curves/meltCurve_Q8IZ21_3_PHACTR4.pdf")</f>
        <v>Melting_Curves/meltCurve_Q8IZ21_3_PHACTR4.pdf</v>
      </c>
    </row>
    <row r="1588" spans="1:28" x14ac:dyDescent="0.25">
      <c r="A1588" t="s">
        <v>1592</v>
      </c>
      <c r="B1588">
        <v>1</v>
      </c>
      <c r="C1588">
        <v>1.0574855168208199</v>
      </c>
      <c r="D1588">
        <v>1.6549039536538299</v>
      </c>
      <c r="E1588">
        <v>1.93245248500864</v>
      </c>
      <c r="F1588">
        <v>1.4615509706270999</v>
      </c>
      <c r="G1588">
        <v>1.81097672527696</v>
      </c>
      <c r="H1588">
        <v>0.88992783819493804</v>
      </c>
      <c r="I1588">
        <v>1.53666022969814</v>
      </c>
      <c r="J1588">
        <v>1.33505437544466</v>
      </c>
      <c r="K1588">
        <v>1.1502998272182099</v>
      </c>
      <c r="L1588">
        <v>10809.6977230997</v>
      </c>
      <c r="M1588">
        <v>250</v>
      </c>
      <c r="O1588">
        <v>43.236023915658897</v>
      </c>
      <c r="P1588">
        <v>0.68154726985677505</v>
      </c>
      <c r="Q1588">
        <v>1.4714783041861601</v>
      </c>
      <c r="R1588">
        <v>0.276317194996822</v>
      </c>
      <c r="S1588" t="s">
        <v>3462</v>
      </c>
      <c r="T1588" t="s">
        <v>3746</v>
      </c>
      <c r="U1588" t="s">
        <v>3746</v>
      </c>
      <c r="V1588" t="s">
        <v>3746</v>
      </c>
      <c r="W1588" t="s">
        <v>5322</v>
      </c>
      <c r="X1588">
        <v>2</v>
      </c>
      <c r="Y1588" t="s">
        <v>7108</v>
      </c>
      <c r="Z1588" t="s">
        <v>8976</v>
      </c>
      <c r="AA1588">
        <v>1.420541872217894</v>
      </c>
      <c r="AB1588" t="str">
        <f>HYPERLINK("Melting_Curves/meltCurve_Q8N0X7_SPG20.pdf", "Melting_Curves/meltCurve_Q8N0X7_SPG20.pdf")</f>
        <v>Melting_Curves/meltCurve_Q8N0X7_SPG20.pdf</v>
      </c>
    </row>
    <row r="1589" spans="1:28" x14ac:dyDescent="0.25">
      <c r="A1589" t="s">
        <v>1593</v>
      </c>
      <c r="B1589">
        <v>1</v>
      </c>
      <c r="C1589">
        <v>1.0069800338566399</v>
      </c>
      <c r="D1589">
        <v>1.6141270319782901</v>
      </c>
      <c r="E1589">
        <v>1.73965169399161</v>
      </c>
      <c r="F1589">
        <v>1.3993460566287099</v>
      </c>
      <c r="G1589">
        <v>1.47125663798901</v>
      </c>
      <c r="H1589">
        <v>1.1136516476126399</v>
      </c>
      <c r="I1589">
        <v>1.92127171115182</v>
      </c>
      <c r="J1589">
        <v>1.65568258238063</v>
      </c>
      <c r="K1589">
        <v>1.7925469007258299</v>
      </c>
      <c r="L1589">
        <v>10907.524249898799</v>
      </c>
      <c r="M1589">
        <v>250</v>
      </c>
      <c r="O1589">
        <v>43.627310706766202</v>
      </c>
      <c r="P1589">
        <v>0.71629453285849298</v>
      </c>
      <c r="Q1589">
        <v>1.5</v>
      </c>
      <c r="R1589">
        <v>0.48352107758054502</v>
      </c>
      <c r="S1589" t="s">
        <v>3463</v>
      </c>
      <c r="T1589" t="s">
        <v>3746</v>
      </c>
      <c r="U1589" t="s">
        <v>3746</v>
      </c>
      <c r="V1589" t="s">
        <v>3746</v>
      </c>
      <c r="W1589" t="s">
        <v>5323</v>
      </c>
      <c r="X1589">
        <v>3</v>
      </c>
      <c r="Y1589" t="s">
        <v>7109</v>
      </c>
      <c r="Z1589" t="s">
        <v>8977</v>
      </c>
      <c r="AA1589">
        <v>1.439460098269147</v>
      </c>
      <c r="AB1589" t="str">
        <f>HYPERLINK("Melting_Curves/meltCurve_Q8N1G4_LRRC47.pdf", "Melting_Curves/meltCurve_Q8N1G4_LRRC47.pdf")</f>
        <v>Melting_Curves/meltCurve_Q8N1G4_LRRC47.pdf</v>
      </c>
    </row>
    <row r="1590" spans="1:28" x14ac:dyDescent="0.25">
      <c r="A1590" t="s">
        <v>1594</v>
      </c>
      <c r="B1590">
        <v>1</v>
      </c>
      <c r="C1590">
        <v>0.86714594718858096</v>
      </c>
      <c r="D1590">
        <v>1.2738900092999901</v>
      </c>
      <c r="E1590">
        <v>1.3864303702233001</v>
      </c>
      <c r="F1590">
        <v>0.95972789684322701</v>
      </c>
      <c r="G1590">
        <v>0.94285206741972205</v>
      </c>
      <c r="H1590">
        <v>0.71577550444623295</v>
      </c>
      <c r="I1590">
        <v>1.07284297641564</v>
      </c>
      <c r="J1590">
        <v>1.06291601793122</v>
      </c>
      <c r="K1590">
        <v>0.97098193293555801</v>
      </c>
      <c r="L1590">
        <v>13154.650567177499</v>
      </c>
      <c r="M1590">
        <v>250</v>
      </c>
      <c r="O1590">
        <v>52.615234948899896</v>
      </c>
      <c r="P1590">
        <v>-5.5743512034327501E-2</v>
      </c>
      <c r="Q1590">
        <v>0.95307267226418102</v>
      </c>
      <c r="R1590">
        <v>1.8869905483122801E-2</v>
      </c>
      <c r="S1590" t="s">
        <v>3464</v>
      </c>
      <c r="T1590" t="s">
        <v>3746</v>
      </c>
      <c r="U1590" t="s">
        <v>3746</v>
      </c>
      <c r="V1590" t="s">
        <v>3746</v>
      </c>
      <c r="W1590" t="s">
        <v>5324</v>
      </c>
      <c r="X1590">
        <v>14</v>
      </c>
      <c r="Y1590" t="s">
        <v>7110</v>
      </c>
      <c r="Z1590" t="s">
        <v>8978</v>
      </c>
      <c r="AA1590">
        <v>0.97281558190124773</v>
      </c>
      <c r="AB1590" t="str">
        <f>HYPERLINK("Melting_Curves/meltCurve_Q8N271_PROM2.pdf", "Melting_Curves/meltCurve_Q8N271_PROM2.pdf")</f>
        <v>Melting_Curves/meltCurve_Q8N271_PROM2.pdf</v>
      </c>
    </row>
    <row r="1591" spans="1:28" x14ac:dyDescent="0.25">
      <c r="A1591" t="s">
        <v>1595</v>
      </c>
      <c r="B1591">
        <v>1</v>
      </c>
      <c r="C1591">
        <v>1.06154980189809</v>
      </c>
      <c r="D1591">
        <v>1.67773887404404</v>
      </c>
      <c r="E1591">
        <v>2.3314290979452701</v>
      </c>
      <c r="F1591">
        <v>1.5892840689210399</v>
      </c>
      <c r="G1591">
        <v>1.6173408274209899</v>
      </c>
      <c r="H1591">
        <v>1.4956694001658499</v>
      </c>
      <c r="I1591">
        <v>1.9535612273104199</v>
      </c>
      <c r="J1591">
        <v>2.0939832304431998</v>
      </c>
      <c r="K1591">
        <v>1.9624067078227201</v>
      </c>
      <c r="L1591">
        <v>10809.2294823881</v>
      </c>
      <c r="M1591">
        <v>250</v>
      </c>
      <c r="O1591">
        <v>43.234151068436098</v>
      </c>
      <c r="P1591">
        <v>0.722808226253702</v>
      </c>
      <c r="Q1591">
        <v>1.5</v>
      </c>
      <c r="R1591">
        <v>7.5757702020696399E-2</v>
      </c>
      <c r="S1591" t="s">
        <v>3465</v>
      </c>
      <c r="T1591" t="s">
        <v>3746</v>
      </c>
      <c r="U1591" t="s">
        <v>3746</v>
      </c>
      <c r="V1591" t="s">
        <v>3746</v>
      </c>
      <c r="W1591" t="s">
        <v>5325</v>
      </c>
      <c r="X1591">
        <v>5</v>
      </c>
      <c r="Y1591" t="s">
        <v>7111</v>
      </c>
      <c r="Z1591" t="s">
        <v>8979</v>
      </c>
      <c r="AA1591">
        <v>1.4460134277777601</v>
      </c>
      <c r="AB1591" t="str">
        <f>HYPERLINK("Melting_Curves/meltCurve_Q8N335_GPD1L.pdf", "Melting_Curves/meltCurve_Q8N335_GPD1L.pdf")</f>
        <v>Melting_Curves/meltCurve_Q8N335_GPD1L.pdf</v>
      </c>
    </row>
    <row r="1592" spans="1:28" x14ac:dyDescent="0.25">
      <c r="A1592" t="s">
        <v>1596</v>
      </c>
      <c r="B1592">
        <v>1</v>
      </c>
      <c r="C1592">
        <v>0.97368421052631604</v>
      </c>
      <c r="D1592">
        <v>1.3149626114466499</v>
      </c>
      <c r="E1592">
        <v>1.4860871440897301</v>
      </c>
      <c r="F1592">
        <v>1.0235835490365299</v>
      </c>
      <c r="G1592">
        <v>1.1482959447799801</v>
      </c>
      <c r="H1592">
        <v>0.72968794938165105</v>
      </c>
      <c r="I1592">
        <v>1.12839732528041</v>
      </c>
      <c r="J1592">
        <v>1.41055507621513</v>
      </c>
      <c r="K1592">
        <v>1.0915660051768801</v>
      </c>
      <c r="L1592">
        <v>11061.8846089464</v>
      </c>
      <c r="M1592">
        <v>250</v>
      </c>
      <c r="O1592">
        <v>44.244709401524197</v>
      </c>
      <c r="P1592">
        <v>0.23539657132554001</v>
      </c>
      <c r="Q1592">
        <v>1.16664083662038</v>
      </c>
      <c r="R1592">
        <v>0.113043749173301</v>
      </c>
      <c r="S1592" t="s">
        <v>3466</v>
      </c>
      <c r="T1592" t="s">
        <v>3746</v>
      </c>
      <c r="U1592" t="s">
        <v>3746</v>
      </c>
      <c r="V1592" t="s">
        <v>3746</v>
      </c>
      <c r="W1592" t="s">
        <v>5326</v>
      </c>
      <c r="X1592">
        <v>4</v>
      </c>
      <c r="Y1592" t="s">
        <v>7112</v>
      </c>
      <c r="Z1592" t="s">
        <v>8980</v>
      </c>
      <c r="AA1592">
        <v>1.1430341177187411</v>
      </c>
      <c r="AB1592" t="str">
        <f>HYPERLINK("Melting_Curves/meltCurve_Q8N387_MUC15.pdf", "Melting_Curves/meltCurve_Q8N387_MUC15.pdf")</f>
        <v>Melting_Curves/meltCurve_Q8N387_MUC15.pdf</v>
      </c>
    </row>
    <row r="1593" spans="1:28" x14ac:dyDescent="0.25">
      <c r="A1593" t="s">
        <v>1597</v>
      </c>
      <c r="B1593">
        <v>1</v>
      </c>
      <c r="C1593">
        <v>0.90266430482250004</v>
      </c>
      <c r="D1593">
        <v>1.43116911286241</v>
      </c>
      <c r="E1593">
        <v>1.8789313860169199</v>
      </c>
      <c r="F1593">
        <v>1.3148723881136599</v>
      </c>
      <c r="G1593">
        <v>1.6174716217193299</v>
      </c>
      <c r="H1593">
        <v>1.3132275323548599</v>
      </c>
      <c r="I1593">
        <v>2.2377268454920101</v>
      </c>
      <c r="J1593">
        <v>2.3197888800520601</v>
      </c>
      <c r="K1593">
        <v>2.1462656351673801</v>
      </c>
      <c r="L1593">
        <v>11415.5970698532</v>
      </c>
      <c r="M1593">
        <v>250</v>
      </c>
      <c r="O1593">
        <v>45.659448129696898</v>
      </c>
      <c r="P1593">
        <v>0.68441448330788202</v>
      </c>
      <c r="Q1593">
        <v>1.5</v>
      </c>
      <c r="R1593">
        <v>0.199838552394452</v>
      </c>
      <c r="S1593" t="s">
        <v>3467</v>
      </c>
      <c r="T1593" t="s">
        <v>3746</v>
      </c>
      <c r="U1593" t="s">
        <v>3746</v>
      </c>
      <c r="V1593" t="s">
        <v>3746</v>
      </c>
      <c r="W1593" t="s">
        <v>5327</v>
      </c>
      <c r="X1593">
        <v>11</v>
      </c>
      <c r="Y1593" t="s">
        <v>7113</v>
      </c>
      <c r="Z1593" t="s">
        <v>8981</v>
      </c>
      <c r="AA1593">
        <v>1.405586793619404</v>
      </c>
      <c r="AB1593" t="str">
        <f>HYPERLINK("Melting_Curves/meltCurve_Q8N392_2_ARHGAP18.pdf", "Melting_Curves/meltCurve_Q8N392_2_ARHGAP18.pdf")</f>
        <v>Melting_Curves/meltCurve_Q8N392_2_ARHGAP18.pdf</v>
      </c>
    </row>
    <row r="1594" spans="1:28" x14ac:dyDescent="0.25">
      <c r="A1594" t="s">
        <v>1598</v>
      </c>
      <c r="B1594">
        <v>1</v>
      </c>
      <c r="C1594">
        <v>1.0125620924765699</v>
      </c>
      <c r="D1594">
        <v>1.36683224660419</v>
      </c>
      <c r="E1594">
        <v>1.8437875612947101</v>
      </c>
      <c r="F1594">
        <v>1.1906863944348101</v>
      </c>
      <c r="G1594">
        <v>1.42586663546531</v>
      </c>
      <c r="H1594">
        <v>0.80956888940891203</v>
      </c>
      <c r="I1594">
        <v>1.2977992405305601</v>
      </c>
      <c r="J1594">
        <v>1.25535830151149</v>
      </c>
      <c r="K1594">
        <v>1.1447353025645399</v>
      </c>
      <c r="L1594">
        <v>10858.048458089699</v>
      </c>
      <c r="M1594">
        <v>250</v>
      </c>
      <c r="O1594">
        <v>43.429414288907999</v>
      </c>
      <c r="P1594">
        <v>0.41997650238748502</v>
      </c>
      <c r="Q1594">
        <v>1.29182933702859</v>
      </c>
      <c r="R1594">
        <v>0.18015464962620001</v>
      </c>
      <c r="S1594" t="s">
        <v>3468</v>
      </c>
      <c r="T1594" t="s">
        <v>3746</v>
      </c>
      <c r="U1594" t="s">
        <v>3746</v>
      </c>
      <c r="V1594" t="s">
        <v>3746</v>
      </c>
      <c r="W1594" t="s">
        <v>5328</v>
      </c>
      <c r="X1594">
        <v>6</v>
      </c>
      <c r="Y1594" t="s">
        <v>7114</v>
      </c>
      <c r="Z1594" t="s">
        <v>8982</v>
      </c>
      <c r="AA1594">
        <v>1.2584199312832891</v>
      </c>
      <c r="AB1594" t="str">
        <f>HYPERLINK("Melting_Curves/meltCurve_Q8N474_SFRP1.pdf", "Melting_Curves/meltCurve_Q8N474_SFRP1.pdf")</f>
        <v>Melting_Curves/meltCurve_Q8N474_SFRP1.pdf</v>
      </c>
    </row>
    <row r="1595" spans="1:28" x14ac:dyDescent="0.25">
      <c r="A1595" t="s">
        <v>1599</v>
      </c>
      <c r="B1595">
        <v>1</v>
      </c>
      <c r="C1595">
        <v>0.99898355202365496</v>
      </c>
      <c r="D1595">
        <v>1.55756791720569</v>
      </c>
      <c r="E1595">
        <v>1.8598225836259501</v>
      </c>
      <c r="F1595">
        <v>1.2901496950656099</v>
      </c>
      <c r="G1595">
        <v>1.4350397338754399</v>
      </c>
      <c r="H1595">
        <v>1.0442154869709801</v>
      </c>
      <c r="I1595">
        <v>1.4890962853446701</v>
      </c>
      <c r="J1595">
        <v>1.8801977453335801</v>
      </c>
      <c r="K1595">
        <v>1.5006930327111401</v>
      </c>
      <c r="L1595">
        <v>11019.9619023471</v>
      </c>
      <c r="M1595">
        <v>250</v>
      </c>
      <c r="O1595">
        <v>44.077027424572599</v>
      </c>
      <c r="P1595">
        <v>0.70898611615395701</v>
      </c>
      <c r="Q1595">
        <v>1.5</v>
      </c>
      <c r="R1595">
        <v>0.43568213284288998</v>
      </c>
      <c r="S1595" t="s">
        <v>3469</v>
      </c>
      <c r="T1595" t="s">
        <v>3746</v>
      </c>
      <c r="U1595" t="s">
        <v>3746</v>
      </c>
      <c r="V1595" t="s">
        <v>3746</v>
      </c>
      <c r="W1595" t="s">
        <v>5329</v>
      </c>
      <c r="X1595">
        <v>1</v>
      </c>
      <c r="Y1595" t="s">
        <v>7115</v>
      </c>
      <c r="Z1595" t="s">
        <v>8983</v>
      </c>
      <c r="AA1595">
        <v>1.431963860120236</v>
      </c>
      <c r="AB1595" t="str">
        <f>HYPERLINK("Melting_Curves/meltCurve_Q8N8Z6_2_DCBLD1.pdf", "Melting_Curves/meltCurve_Q8N8Z6_2_DCBLD1.pdf")</f>
        <v>Melting_Curves/meltCurve_Q8N8Z6_2_DCBLD1.pdf</v>
      </c>
    </row>
    <row r="1596" spans="1:28" x14ac:dyDescent="0.25">
      <c r="A1596" t="s">
        <v>1600</v>
      </c>
      <c r="B1596">
        <v>1</v>
      </c>
      <c r="C1596">
        <v>1.0028604118993101</v>
      </c>
      <c r="D1596">
        <v>1.32291449968796</v>
      </c>
      <c r="E1596">
        <v>1.4188683170376499</v>
      </c>
      <c r="F1596">
        <v>0.92068857915539803</v>
      </c>
      <c r="G1596">
        <v>1.0615248595797799</v>
      </c>
      <c r="H1596">
        <v>0.79384231329311405</v>
      </c>
      <c r="I1596">
        <v>1.29758685250676</v>
      </c>
      <c r="J1596">
        <v>1.21395881006865</v>
      </c>
      <c r="K1596">
        <v>1.21499895985022</v>
      </c>
      <c r="L1596">
        <v>10895.3752165566</v>
      </c>
      <c r="M1596">
        <v>250</v>
      </c>
      <c r="O1596">
        <v>43.5786883043288</v>
      </c>
      <c r="P1596">
        <v>0.22308463464105099</v>
      </c>
      <c r="Q1596">
        <v>1.1555478570306601</v>
      </c>
      <c r="R1596">
        <v>0.10637199538938399</v>
      </c>
      <c r="S1596" t="s">
        <v>3470</v>
      </c>
      <c r="T1596" t="s">
        <v>3746</v>
      </c>
      <c r="U1596" t="s">
        <v>3746</v>
      </c>
      <c r="V1596" t="s">
        <v>3746</v>
      </c>
      <c r="W1596" t="s">
        <v>5330</v>
      </c>
      <c r="X1596">
        <v>6</v>
      </c>
      <c r="Y1596" t="s">
        <v>7116</v>
      </c>
      <c r="Z1596" t="s">
        <v>8984</v>
      </c>
      <c r="AA1596">
        <v>1.1369661338186141</v>
      </c>
      <c r="AB1596" t="str">
        <f>HYPERLINK("Melting_Curves/meltCurve_Q8N9U0_TC2N.pdf", "Melting_Curves/meltCurve_Q8N9U0_TC2N.pdf")</f>
        <v>Melting_Curves/meltCurve_Q8N9U0_TC2N.pdf</v>
      </c>
    </row>
    <row r="1597" spans="1:28" x14ac:dyDescent="0.25">
      <c r="A1597" t="s">
        <v>1601</v>
      </c>
      <c r="B1597">
        <v>1</v>
      </c>
      <c r="C1597">
        <v>0.97358019249136696</v>
      </c>
      <c r="D1597">
        <v>1.54801263683785</v>
      </c>
      <c r="E1597">
        <v>2.07699654691059</v>
      </c>
      <c r="F1597">
        <v>2.0155756373521401</v>
      </c>
      <c r="G1597">
        <v>2.5253104106972302</v>
      </c>
      <c r="H1597">
        <v>1.81147601204908</v>
      </c>
      <c r="I1597">
        <v>3.0694291381970502</v>
      </c>
      <c r="J1597">
        <v>3.1412827859819301</v>
      </c>
      <c r="K1597">
        <v>2.7308794357505</v>
      </c>
      <c r="L1597">
        <v>11087.3092901168</v>
      </c>
      <c r="M1597">
        <v>250</v>
      </c>
      <c r="O1597">
        <v>44.3463998161508</v>
      </c>
      <c r="P1597">
        <v>0.70467953809747497</v>
      </c>
      <c r="Q1597">
        <v>1.5</v>
      </c>
      <c r="R1597">
        <v>-0.53792542263657395</v>
      </c>
      <c r="S1597" t="s">
        <v>3471</v>
      </c>
      <c r="T1597" t="s">
        <v>3746</v>
      </c>
      <c r="U1597" t="s">
        <v>3746</v>
      </c>
      <c r="V1597" t="s">
        <v>3746</v>
      </c>
      <c r="W1597" t="s">
        <v>5331</v>
      </c>
      <c r="X1597">
        <v>3</v>
      </c>
      <c r="Y1597" t="s">
        <v>7117</v>
      </c>
      <c r="Z1597" t="s">
        <v>8985</v>
      </c>
      <c r="AA1597">
        <v>1.427473797881714</v>
      </c>
      <c r="AB1597" t="str">
        <f>HYPERLINK("Melting_Curves/meltCurve_Q8NBF2_NHLRC2.pdf", "Melting_Curves/meltCurve_Q8NBF2_NHLRC2.pdf")</f>
        <v>Melting_Curves/meltCurve_Q8NBF2_NHLRC2.pdf</v>
      </c>
    </row>
    <row r="1598" spans="1:28" x14ac:dyDescent="0.25">
      <c r="A1598" t="s">
        <v>1602</v>
      </c>
      <c r="B1598">
        <v>1</v>
      </c>
      <c r="C1598">
        <v>1.0727174244219499</v>
      </c>
      <c r="D1598">
        <v>1.2892447273096601</v>
      </c>
      <c r="E1598">
        <v>1.5457869257591701</v>
      </c>
      <c r="F1598">
        <v>0.92829818206438897</v>
      </c>
      <c r="G1598">
        <v>0.99644537729781002</v>
      </c>
      <c r="H1598">
        <v>0.69257591658485396</v>
      </c>
      <c r="I1598">
        <v>0.93716781204509303</v>
      </c>
      <c r="J1598">
        <v>0.99170588036155605</v>
      </c>
      <c r="K1598">
        <v>0.93777717593689702</v>
      </c>
      <c r="L1598">
        <v>14443.6911718869</v>
      </c>
      <c r="M1598">
        <v>250</v>
      </c>
      <c r="O1598">
        <v>57.7710633138609</v>
      </c>
      <c r="P1598">
        <v>-0.119213196393905</v>
      </c>
      <c r="Q1598">
        <v>0.88980682229497299</v>
      </c>
      <c r="R1598">
        <v>6.9385297432361798E-2</v>
      </c>
      <c r="S1598" t="s">
        <v>3472</v>
      </c>
      <c r="T1598" t="s">
        <v>3746</v>
      </c>
      <c r="U1598" t="s">
        <v>3746</v>
      </c>
      <c r="V1598" t="s">
        <v>3746</v>
      </c>
      <c r="W1598" t="s">
        <v>5332</v>
      </c>
      <c r="X1598">
        <v>14</v>
      </c>
      <c r="Y1598" t="s">
        <v>7118</v>
      </c>
      <c r="Z1598" t="s">
        <v>8986</v>
      </c>
      <c r="AA1598">
        <v>0.95510658866407383</v>
      </c>
      <c r="AB1598" t="str">
        <f>HYPERLINK("Melting_Curves/meltCurve_Q8NBJ4_2_GOLM1.pdf", "Melting_Curves/meltCurve_Q8NBJ4_2_GOLM1.pdf")</f>
        <v>Melting_Curves/meltCurve_Q8NBJ4_2_GOLM1.pdf</v>
      </c>
    </row>
    <row r="1599" spans="1:28" x14ac:dyDescent="0.25">
      <c r="A1599" t="s">
        <v>1603</v>
      </c>
      <c r="B1599">
        <v>1</v>
      </c>
      <c r="C1599">
        <v>1.02267952045483</v>
      </c>
      <c r="D1599">
        <v>1.39395624768261</v>
      </c>
      <c r="E1599">
        <v>1.5702014584105799</v>
      </c>
      <c r="F1599">
        <v>1.15690273142998</v>
      </c>
      <c r="G1599">
        <v>1.2617105425781701</v>
      </c>
      <c r="H1599">
        <v>0.77994067482387797</v>
      </c>
      <c r="I1599">
        <v>1.0805215671734001</v>
      </c>
      <c r="J1599">
        <v>1.03652206154987</v>
      </c>
      <c r="K1599">
        <v>1.0209492028179501</v>
      </c>
      <c r="L1599">
        <v>10803.0566481402</v>
      </c>
      <c r="M1599">
        <v>250</v>
      </c>
      <c r="O1599">
        <v>43.209461308646198</v>
      </c>
      <c r="P1599">
        <v>0.23517426137244299</v>
      </c>
      <c r="Q1599">
        <v>1.16258805012539</v>
      </c>
      <c r="R1599">
        <v>8.0918713140227694E-2</v>
      </c>
      <c r="S1599" t="s">
        <v>3473</v>
      </c>
      <c r="T1599" t="s">
        <v>3746</v>
      </c>
      <c r="U1599" t="s">
        <v>3746</v>
      </c>
      <c r="V1599" t="s">
        <v>3746</v>
      </c>
      <c r="W1599" t="s">
        <v>5333</v>
      </c>
      <c r="X1599">
        <v>4</v>
      </c>
      <c r="Y1599" t="s">
        <v>7119</v>
      </c>
      <c r="Z1599" t="s">
        <v>8987</v>
      </c>
      <c r="AA1599">
        <v>1.145166731360665</v>
      </c>
      <c r="AB1599" t="str">
        <f>HYPERLINK("Melting_Curves/meltCurve_Q8NC51_4_SERBP1.pdf", "Melting_Curves/meltCurve_Q8NC51_4_SERBP1.pdf")</f>
        <v>Melting_Curves/meltCurve_Q8NC51_4_SERBP1.pdf</v>
      </c>
    </row>
    <row r="1600" spans="1:28" x14ac:dyDescent="0.25">
      <c r="A1600" t="s">
        <v>1604</v>
      </c>
      <c r="B1600">
        <v>1</v>
      </c>
      <c r="C1600">
        <v>1.07069747039041</v>
      </c>
      <c r="D1600">
        <v>1.19522834722425</v>
      </c>
      <c r="E1600">
        <v>1.3519032997026901</v>
      </c>
      <c r="F1600">
        <v>0.97224253058439303</v>
      </c>
      <c r="G1600">
        <v>1.4562557878832201</v>
      </c>
      <c r="H1600">
        <v>0.50046303065750397</v>
      </c>
      <c r="I1600">
        <v>1.0973826582833699</v>
      </c>
      <c r="J1600">
        <v>0.84953940634595704</v>
      </c>
      <c r="K1600">
        <v>0.824560120875372</v>
      </c>
      <c r="L1600">
        <v>2804.6043315633201</v>
      </c>
      <c r="M1600">
        <v>47.308640998423499</v>
      </c>
      <c r="O1600">
        <v>59.177493785004799</v>
      </c>
      <c r="P1600">
        <v>-3.1653442747544003E-2</v>
      </c>
      <c r="Q1600">
        <v>0.84162137405066295</v>
      </c>
      <c r="R1600">
        <v>0.11732763948487</v>
      </c>
      <c r="S1600" t="s">
        <v>3474</v>
      </c>
      <c r="T1600" t="s">
        <v>3746</v>
      </c>
      <c r="U1600" t="s">
        <v>3746</v>
      </c>
      <c r="V1600" t="s">
        <v>3746</v>
      </c>
      <c r="W1600" t="s">
        <v>5334</v>
      </c>
      <c r="X1600">
        <v>6</v>
      </c>
      <c r="Y1600" t="s">
        <v>7120</v>
      </c>
      <c r="Z1600" t="s">
        <v>8988</v>
      </c>
      <c r="AA1600">
        <v>0.94387854186671616</v>
      </c>
      <c r="AB1600" t="str">
        <f>HYPERLINK("Melting_Curves/meltCurve_Q8NCC3_PLA2G15.pdf", "Melting_Curves/meltCurve_Q8NCC3_PLA2G15.pdf")</f>
        <v>Melting_Curves/meltCurve_Q8NCC3_PLA2G15.pdf</v>
      </c>
    </row>
    <row r="1601" spans="1:28" x14ac:dyDescent="0.25">
      <c r="A1601" t="s">
        <v>1605</v>
      </c>
      <c r="B1601">
        <v>1</v>
      </c>
      <c r="C1601">
        <v>1.1937989825381501</v>
      </c>
      <c r="D1601">
        <v>1.5127182730647599</v>
      </c>
      <c r="E1601">
        <v>2.41430633851231</v>
      </c>
      <c r="F1601">
        <v>1.7538498556304101</v>
      </c>
      <c r="G1601">
        <v>2.9316994362711402</v>
      </c>
      <c r="H1601">
        <v>1.6803588615426901</v>
      </c>
      <c r="I1601">
        <v>3.0697098858792802</v>
      </c>
      <c r="J1601">
        <v>3.10858655300426</v>
      </c>
      <c r="K1601">
        <v>3.0091777808332201</v>
      </c>
      <c r="S1601" t="s">
        <v>3475</v>
      </c>
      <c r="T1601" t="s">
        <v>3746</v>
      </c>
      <c r="U1601" t="s">
        <v>3747</v>
      </c>
      <c r="V1601" t="s">
        <v>3746</v>
      </c>
      <c r="W1601" t="s">
        <v>5335</v>
      </c>
      <c r="X1601">
        <v>3</v>
      </c>
      <c r="Y1601" t="s">
        <v>7121</v>
      </c>
      <c r="Z1601" t="s">
        <v>8989</v>
      </c>
      <c r="AB1601" t="str">
        <f>HYPERLINK("Melting_Curves/meltCurve_Q8NCL4_GALNT6.pdf", "Melting_Curves/meltCurve_Q8NCL4_GALNT6.pdf")</f>
        <v>Melting_Curves/meltCurve_Q8NCL4_GALNT6.pdf</v>
      </c>
    </row>
    <row r="1602" spans="1:28" x14ac:dyDescent="0.25">
      <c r="A1602" t="s">
        <v>1606</v>
      </c>
      <c r="B1602">
        <v>1</v>
      </c>
      <c r="C1602">
        <v>1.32851686703919</v>
      </c>
      <c r="D1602">
        <v>1.2168350548437501</v>
      </c>
      <c r="E1602">
        <v>1.9519858516302599</v>
      </c>
      <c r="F1602">
        <v>1.15619649677334</v>
      </c>
      <c r="G1602">
        <v>0.896295460104231</v>
      </c>
      <c r="H1602">
        <v>0.84877048409249101</v>
      </c>
      <c r="I1602">
        <v>1.20142612556678</v>
      </c>
      <c r="J1602">
        <v>1.3520347688660601</v>
      </c>
      <c r="K1602">
        <v>0.97665142706628305</v>
      </c>
      <c r="L1602">
        <v>10239.8122369987</v>
      </c>
      <c r="M1602">
        <v>250</v>
      </c>
      <c r="O1602">
        <v>40.956627841822097</v>
      </c>
      <c r="P1602">
        <v>0.327024882691552</v>
      </c>
      <c r="Q1602">
        <v>1.2143013823217299</v>
      </c>
      <c r="R1602">
        <v>4.5305281173663399E-2</v>
      </c>
      <c r="S1602" t="s">
        <v>3476</v>
      </c>
      <c r="T1602" t="s">
        <v>3746</v>
      </c>
      <c r="U1602" t="s">
        <v>3746</v>
      </c>
      <c r="V1602" t="s">
        <v>3746</v>
      </c>
      <c r="W1602" t="s">
        <v>5336</v>
      </c>
      <c r="X1602">
        <v>1</v>
      </c>
      <c r="Y1602" t="s">
        <v>7122</v>
      </c>
      <c r="Z1602" t="s">
        <v>8990</v>
      </c>
      <c r="AA1602">
        <v>1.2074309437173989</v>
      </c>
      <c r="AB1602" t="str">
        <f>HYPERLINK("Melting_Curves/meltCurve_Q8NEG4_2_FAM83F.pdf", "Melting_Curves/meltCurve_Q8NEG4_2_FAM83F.pdf")</f>
        <v>Melting_Curves/meltCurve_Q8NEG4_2_FAM83F.pdf</v>
      </c>
    </row>
    <row r="1603" spans="1:28" x14ac:dyDescent="0.25">
      <c r="A1603" t="s">
        <v>1607</v>
      </c>
      <c r="B1603">
        <v>1</v>
      </c>
      <c r="C1603">
        <v>1.17907207542489</v>
      </c>
      <c r="D1603">
        <v>1.5559483934995699</v>
      </c>
      <c r="E1603">
        <v>1.8894678079642699</v>
      </c>
      <c r="F1603">
        <v>1.28997642972336</v>
      </c>
      <c r="G1603">
        <v>1.62064260017368</v>
      </c>
      <c r="H1603">
        <v>1.3185708969110499</v>
      </c>
      <c r="I1603">
        <v>1.96563701773973</v>
      </c>
      <c r="J1603">
        <v>1.9880287805483201</v>
      </c>
      <c r="K1603">
        <v>1.9800272918992701</v>
      </c>
      <c r="L1603">
        <v>10750.029066240901</v>
      </c>
      <c r="M1603">
        <v>250</v>
      </c>
      <c r="O1603">
        <v>42.997344330820297</v>
      </c>
      <c r="P1603">
        <v>0.72678872905271996</v>
      </c>
      <c r="Q1603">
        <v>1.5</v>
      </c>
      <c r="R1603">
        <v>0.237975570776257</v>
      </c>
      <c r="S1603" t="s">
        <v>3477</v>
      </c>
      <c r="T1603" t="s">
        <v>3746</v>
      </c>
      <c r="U1603" t="s">
        <v>3746</v>
      </c>
      <c r="V1603" t="s">
        <v>3746</v>
      </c>
      <c r="W1603" t="s">
        <v>5337</v>
      </c>
      <c r="X1603">
        <v>3</v>
      </c>
      <c r="Y1603" t="s">
        <v>7123</v>
      </c>
      <c r="Z1603" t="s">
        <v>8991</v>
      </c>
      <c r="AA1603">
        <v>1.4499603299654971</v>
      </c>
      <c r="AB1603" t="str">
        <f>HYPERLINK("Melting_Curves/meltCurve_Q8NES3_3_LFNG.pdf", "Melting_Curves/meltCurve_Q8NES3_3_LFNG.pdf")</f>
        <v>Melting_Curves/meltCurve_Q8NES3_3_LFNG.pdf</v>
      </c>
    </row>
    <row r="1604" spans="1:28" x14ac:dyDescent="0.25">
      <c r="A1604" t="s">
        <v>1608</v>
      </c>
      <c r="B1604">
        <v>1</v>
      </c>
      <c r="C1604">
        <v>0.98502521110503605</v>
      </c>
      <c r="D1604">
        <v>1.3812951825527</v>
      </c>
      <c r="E1604">
        <v>1.74138873701476</v>
      </c>
      <c r="F1604">
        <v>1.11572808456351</v>
      </c>
      <c r="G1604">
        <v>1.21502338861552</v>
      </c>
      <c r="H1604">
        <v>0.493636474090274</v>
      </c>
      <c r="I1604">
        <v>1.3529858453313901</v>
      </c>
      <c r="J1604">
        <v>1.2463094587206101</v>
      </c>
      <c r="K1604">
        <v>1.23426584047142</v>
      </c>
      <c r="L1604">
        <v>11048.8377110366</v>
      </c>
      <c r="M1604">
        <v>250</v>
      </c>
      <c r="O1604">
        <v>44.192522602806399</v>
      </c>
      <c r="P1604">
        <v>0.31478539713397202</v>
      </c>
      <c r="Q1604">
        <v>1.22257857234644</v>
      </c>
      <c r="R1604">
        <v>8.9996919878916004E-2</v>
      </c>
      <c r="S1604" t="s">
        <v>3478</v>
      </c>
      <c r="T1604" t="s">
        <v>3746</v>
      </c>
      <c r="U1604" t="s">
        <v>3746</v>
      </c>
      <c r="V1604" t="s">
        <v>3746</v>
      </c>
      <c r="W1604" t="s">
        <v>5338</v>
      </c>
      <c r="X1604">
        <v>2</v>
      </c>
      <c r="Y1604" t="s">
        <v>7124</v>
      </c>
      <c r="Z1604" t="s">
        <v>8992</v>
      </c>
      <c r="AA1604">
        <v>1.191434801960422</v>
      </c>
      <c r="AB1604" t="str">
        <f>HYPERLINK("Melting_Curves/meltCurve_Q8NFL0_B3GNT7.pdf", "Melting_Curves/meltCurve_Q8NFL0_B3GNT7.pdf")</f>
        <v>Melting_Curves/meltCurve_Q8NFL0_B3GNT7.pdf</v>
      </c>
    </row>
    <row r="1605" spans="1:28" x14ac:dyDescent="0.25">
      <c r="A1605" t="s">
        <v>1609</v>
      </c>
      <c r="B1605">
        <v>1</v>
      </c>
      <c r="C1605">
        <v>1.23658158798572</v>
      </c>
      <c r="D1605">
        <v>1.23514490313601</v>
      </c>
      <c r="E1605">
        <v>1.41596516039239</v>
      </c>
      <c r="F1605">
        <v>0.97966193009630298</v>
      </c>
      <c r="G1605">
        <v>1.1768469257189</v>
      </c>
      <c r="H1605">
        <v>0.68516398410667401</v>
      </c>
      <c r="I1605">
        <v>1.05158596538487</v>
      </c>
      <c r="J1605">
        <v>0.89379756212539596</v>
      </c>
      <c r="K1605">
        <v>0.89772599726131996</v>
      </c>
      <c r="L1605">
        <v>1995.5370420296899</v>
      </c>
      <c r="M1605">
        <v>33.7928939322424</v>
      </c>
      <c r="O1605">
        <v>58.846338617437802</v>
      </c>
      <c r="P1605">
        <v>-1.47137122178994E-2</v>
      </c>
      <c r="Q1605">
        <v>0.89751165795938703</v>
      </c>
      <c r="R1605">
        <v>8.2050537278425296E-3</v>
      </c>
      <c r="S1605" t="s">
        <v>3479</v>
      </c>
      <c r="T1605" t="s">
        <v>3746</v>
      </c>
      <c r="U1605" t="s">
        <v>3746</v>
      </c>
      <c r="V1605" t="s">
        <v>3746</v>
      </c>
      <c r="W1605" t="s">
        <v>5339</v>
      </c>
      <c r="X1605">
        <v>2</v>
      </c>
      <c r="Y1605" t="s">
        <v>7125</v>
      </c>
      <c r="Z1605" t="s">
        <v>8993</v>
      </c>
      <c r="AA1605">
        <v>0.9631411813816112</v>
      </c>
      <c r="AB1605" t="str">
        <f>HYPERLINK("Melting_Curves/meltCurve_Q8NFT8_DNER.pdf", "Melting_Curves/meltCurve_Q8NFT8_DNER.pdf")</f>
        <v>Melting_Curves/meltCurve_Q8NFT8_DNER.pdf</v>
      </c>
    </row>
    <row r="1606" spans="1:28" x14ac:dyDescent="0.25">
      <c r="A1606" t="s">
        <v>1610</v>
      </c>
      <c r="B1606">
        <v>1</v>
      </c>
      <c r="C1606">
        <v>1.0265214963707401</v>
      </c>
      <c r="D1606">
        <v>1.4843662758235601</v>
      </c>
      <c r="E1606">
        <v>2.5829145728643201</v>
      </c>
      <c r="F1606">
        <v>2.9229480737018401</v>
      </c>
      <c r="G1606">
        <v>2.59757118927973</v>
      </c>
      <c r="H1606">
        <v>1.6376326074818499</v>
      </c>
      <c r="I1606">
        <v>2.3888888888888902</v>
      </c>
      <c r="J1606">
        <v>2.1711334450027899</v>
      </c>
      <c r="K1606">
        <v>2.1969570072585101</v>
      </c>
      <c r="L1606">
        <v>4119.2339675640096</v>
      </c>
      <c r="M1606">
        <v>93.115435123925906</v>
      </c>
      <c r="O1606">
        <v>44.217535742204497</v>
      </c>
      <c r="P1606">
        <v>0.26323109198973499</v>
      </c>
      <c r="Q1606">
        <v>1.5</v>
      </c>
      <c r="R1606">
        <v>-0.49467748137200002</v>
      </c>
      <c r="S1606" t="s">
        <v>3480</v>
      </c>
      <c r="T1606" t="s">
        <v>3746</v>
      </c>
      <c r="U1606" t="s">
        <v>3746</v>
      </c>
      <c r="V1606" t="s">
        <v>3746</v>
      </c>
      <c r="W1606" t="s">
        <v>5340</v>
      </c>
      <c r="X1606">
        <v>1</v>
      </c>
      <c r="Y1606" t="s">
        <v>7126</v>
      </c>
      <c r="Z1606" t="s">
        <v>8994</v>
      </c>
      <c r="AA1606">
        <v>1.429087324351747</v>
      </c>
      <c r="AB1606" t="str">
        <f>HYPERLINK("Melting_Curves/meltCurve_Q8NFU4_FDCSP.pdf", "Melting_Curves/meltCurve_Q8NFU4_FDCSP.pdf")</f>
        <v>Melting_Curves/meltCurve_Q8NFU4_FDCSP.pdf</v>
      </c>
    </row>
    <row r="1607" spans="1:28" x14ac:dyDescent="0.25">
      <c r="A1607" t="s">
        <v>1611</v>
      </c>
      <c r="B1607">
        <v>1</v>
      </c>
      <c r="C1607">
        <v>1.3470191226096699</v>
      </c>
      <c r="D1607">
        <v>1.7413174915635501</v>
      </c>
      <c r="E1607">
        <v>1.72191366704162</v>
      </c>
      <c r="F1607">
        <v>1.6968503937007899</v>
      </c>
      <c r="G1607">
        <v>1.9427727784027</v>
      </c>
      <c r="H1607">
        <v>0.68735939257592804</v>
      </c>
      <c r="I1607">
        <v>1.24068475815523</v>
      </c>
      <c r="J1607">
        <v>2.2930610236220499</v>
      </c>
      <c r="K1607">
        <v>1.5667533745781801</v>
      </c>
      <c r="L1607">
        <v>10689.862017908001</v>
      </c>
      <c r="M1607">
        <v>250</v>
      </c>
      <c r="O1607">
        <v>42.756713718739398</v>
      </c>
      <c r="P1607">
        <v>0.73087940480326197</v>
      </c>
      <c r="Q1607">
        <v>1.5</v>
      </c>
      <c r="R1607">
        <v>0.13584136640905201</v>
      </c>
      <c r="S1607" t="s">
        <v>3481</v>
      </c>
      <c r="T1607" t="s">
        <v>3746</v>
      </c>
      <c r="U1607" t="s">
        <v>3746</v>
      </c>
      <c r="V1607" t="s">
        <v>3746</v>
      </c>
      <c r="W1607" t="s">
        <v>5341</v>
      </c>
      <c r="X1607">
        <v>1</v>
      </c>
      <c r="Y1607" t="s">
        <v>7127</v>
      </c>
      <c r="Z1607" t="s">
        <v>8995</v>
      </c>
      <c r="AA1607">
        <v>1.453971677643082</v>
      </c>
      <c r="AB1607" t="str">
        <f>HYPERLINK("Melting_Curves/meltCurve_Q8NFZ8_CADM4.pdf", "Melting_Curves/meltCurve_Q8NFZ8_CADM4.pdf")</f>
        <v>Melting_Curves/meltCurve_Q8NFZ8_CADM4.pdf</v>
      </c>
    </row>
    <row r="1608" spans="1:28" x14ac:dyDescent="0.25">
      <c r="A1608" t="s">
        <v>1612</v>
      </c>
      <c r="B1608">
        <v>1</v>
      </c>
      <c r="C1608">
        <v>1.1156053566548201</v>
      </c>
      <c r="D1608">
        <v>1.40349822355835</v>
      </c>
      <c r="E1608">
        <v>1.6212079803224899</v>
      </c>
      <c r="F1608">
        <v>1.27417327138562</v>
      </c>
      <c r="G1608">
        <v>1.2756490844493</v>
      </c>
      <c r="H1608">
        <v>1.0126810603990199</v>
      </c>
      <c r="I1608">
        <v>1.44257993987428</v>
      </c>
      <c r="J1608">
        <v>1.57780814430172</v>
      </c>
      <c r="K1608">
        <v>1.29002459688439</v>
      </c>
      <c r="L1608">
        <v>10757.4999534867</v>
      </c>
      <c r="M1608">
        <v>250</v>
      </c>
      <c r="O1608">
        <v>43.027245136212102</v>
      </c>
      <c r="P1608">
        <v>0.52612417641093301</v>
      </c>
      <c r="Q1608">
        <v>1.36220279092846</v>
      </c>
      <c r="R1608">
        <v>0.36952459300881102</v>
      </c>
      <c r="S1608" t="s">
        <v>3482</v>
      </c>
      <c r="T1608" t="s">
        <v>3746</v>
      </c>
      <c r="U1608" t="s">
        <v>3746</v>
      </c>
      <c r="V1608" t="s">
        <v>3746</v>
      </c>
      <c r="W1608" t="s">
        <v>5342</v>
      </c>
      <c r="X1608">
        <v>2</v>
      </c>
      <c r="Y1608" t="s">
        <v>7128</v>
      </c>
      <c r="Z1608" t="s">
        <v>8996</v>
      </c>
      <c r="AA1608">
        <v>1.3255929588194431</v>
      </c>
      <c r="AB1608" t="str">
        <f>HYPERLINK("Melting_Curves/meltCurve_Q8NHG7_SVIP.pdf", "Melting_Curves/meltCurve_Q8NHG7_SVIP.pdf")</f>
        <v>Melting_Curves/meltCurve_Q8NHG7_SVIP.pdf</v>
      </c>
    </row>
    <row r="1609" spans="1:28" x14ac:dyDescent="0.25">
      <c r="A1609" t="s">
        <v>1613</v>
      </c>
      <c r="B1609">
        <v>1</v>
      </c>
      <c r="C1609">
        <v>0.924402593941547</v>
      </c>
      <c r="D1609">
        <v>1.0771964111219701</v>
      </c>
      <c r="E1609">
        <v>1.2578839832992801</v>
      </c>
      <c r="F1609">
        <v>1.2656125077729401</v>
      </c>
      <c r="G1609">
        <v>1.2742293683929999</v>
      </c>
      <c r="H1609">
        <v>0.52141778448965104</v>
      </c>
      <c r="I1609">
        <v>1.08616860620059</v>
      </c>
      <c r="J1609">
        <v>0.81244558941103295</v>
      </c>
      <c r="K1609">
        <v>0.80583636848183304</v>
      </c>
      <c r="L1609">
        <v>2083.1027701572102</v>
      </c>
      <c r="M1609">
        <v>35.145210190913097</v>
      </c>
      <c r="O1609">
        <v>59.080408112524701</v>
      </c>
      <c r="P1609">
        <v>-2.5262342004503099E-2</v>
      </c>
      <c r="Q1609">
        <v>0.830132858871658</v>
      </c>
      <c r="R1609">
        <v>0.19090926155049701</v>
      </c>
      <c r="S1609" t="s">
        <v>3483</v>
      </c>
      <c r="T1609" t="s">
        <v>3746</v>
      </c>
      <c r="U1609" t="s">
        <v>3746</v>
      </c>
      <c r="V1609" t="s">
        <v>3746</v>
      </c>
      <c r="W1609" t="s">
        <v>5343</v>
      </c>
      <c r="X1609">
        <v>2</v>
      </c>
      <c r="Y1609" t="s">
        <v>7129</v>
      </c>
      <c r="Z1609" t="s">
        <v>8997</v>
      </c>
      <c r="AA1609">
        <v>0.94009036512657285</v>
      </c>
      <c r="AB1609" t="str">
        <f>HYPERLINK("Melting_Curves/meltCurve_Q8NHM4_TRY6.pdf", "Melting_Curves/meltCurve_Q8NHM4_TRY6.pdf")</f>
        <v>Melting_Curves/meltCurve_Q8NHM4_TRY6.pdf</v>
      </c>
    </row>
    <row r="1610" spans="1:28" x14ac:dyDescent="0.25">
      <c r="A1610" t="s">
        <v>1614</v>
      </c>
      <c r="B1610">
        <v>1</v>
      </c>
      <c r="C1610">
        <v>1.2815172111379101</v>
      </c>
      <c r="D1610">
        <v>1.8889132500182699</v>
      </c>
      <c r="E1610">
        <v>2.8042096031571999</v>
      </c>
      <c r="F1610">
        <v>2.2335014251260699</v>
      </c>
      <c r="G1610">
        <v>2.217934663451</v>
      </c>
      <c r="H1610">
        <v>2.9582693853687099</v>
      </c>
      <c r="I1610">
        <v>3.26909303515311</v>
      </c>
      <c r="J1610">
        <v>3.7272527954396</v>
      </c>
      <c r="K1610">
        <v>3.6967770225827699</v>
      </c>
      <c r="L1610">
        <v>10714.125360874699</v>
      </c>
      <c r="M1610">
        <v>250</v>
      </c>
      <c r="O1610">
        <v>42.853741935658803</v>
      </c>
      <c r="P1610">
        <v>0.72922424435007804</v>
      </c>
      <c r="Q1610">
        <v>1.5</v>
      </c>
      <c r="R1610">
        <v>-1.2184277077085699</v>
      </c>
      <c r="S1610" t="s">
        <v>3484</v>
      </c>
      <c r="T1610" t="s">
        <v>3746</v>
      </c>
      <c r="U1610" t="s">
        <v>3746</v>
      </c>
      <c r="V1610" t="s">
        <v>3746</v>
      </c>
      <c r="W1610" t="s">
        <v>5344</v>
      </c>
      <c r="X1610">
        <v>4</v>
      </c>
      <c r="Y1610" t="s">
        <v>7130</v>
      </c>
      <c r="Z1610" t="s">
        <v>8998</v>
      </c>
      <c r="AA1610">
        <v>1.452354036318255</v>
      </c>
      <c r="AB1610" t="str">
        <f>HYPERLINK("Melting_Curves/meltCurve_Q8NHP8_PLBD2.pdf", "Melting_Curves/meltCurve_Q8NHP8_PLBD2.pdf")</f>
        <v>Melting_Curves/meltCurve_Q8NHP8_PLBD2.pdf</v>
      </c>
    </row>
    <row r="1611" spans="1:28" x14ac:dyDescent="0.25">
      <c r="A1611" t="s">
        <v>1615</v>
      </c>
      <c r="B1611">
        <v>1</v>
      </c>
      <c r="C1611">
        <v>0.85741503153468801</v>
      </c>
      <c r="D1611">
        <v>1.0239138051857</v>
      </c>
      <c r="E1611">
        <v>0.95889540995094602</v>
      </c>
      <c r="F1611">
        <v>0.66698055360897002</v>
      </c>
      <c r="G1611">
        <v>1.0093728100910999</v>
      </c>
      <c r="H1611">
        <v>0.43973370707778597</v>
      </c>
      <c r="I1611">
        <v>0.81950770847932697</v>
      </c>
      <c r="J1611">
        <v>0.93896723896285905</v>
      </c>
      <c r="K1611">
        <v>0.774636475122635</v>
      </c>
      <c r="L1611">
        <v>12574.9456913835</v>
      </c>
      <c r="M1611">
        <v>250</v>
      </c>
      <c r="O1611">
        <v>50.296563721578401</v>
      </c>
      <c r="P1611">
        <v>-0.279757655893905</v>
      </c>
      <c r="Q1611">
        <v>0.77486641914642496</v>
      </c>
      <c r="R1611">
        <v>0.25332633886053202</v>
      </c>
      <c r="S1611" t="s">
        <v>3485</v>
      </c>
      <c r="T1611" t="s">
        <v>3746</v>
      </c>
      <c r="U1611" t="s">
        <v>3746</v>
      </c>
      <c r="V1611" t="s">
        <v>3746</v>
      </c>
      <c r="W1611" t="s">
        <v>5345</v>
      </c>
      <c r="X1611">
        <v>2</v>
      </c>
      <c r="Y1611" t="s">
        <v>7131</v>
      </c>
      <c r="Z1611" t="s">
        <v>8999</v>
      </c>
      <c r="AA1611">
        <v>0.85218052542285438</v>
      </c>
      <c r="AB1611" t="str">
        <f>HYPERLINK("Melting_Curves/meltCurve_Q8NI22_2_MCFD2.pdf", "Melting_Curves/meltCurve_Q8NI22_2_MCFD2.pdf")</f>
        <v>Melting_Curves/meltCurve_Q8NI22_2_MCFD2.pdf</v>
      </c>
    </row>
    <row r="1612" spans="1:28" x14ac:dyDescent="0.25">
      <c r="A1612" t="s">
        <v>1616</v>
      </c>
      <c r="B1612">
        <v>1</v>
      </c>
      <c r="C1612">
        <v>1.1107558274248099</v>
      </c>
      <c r="D1612">
        <v>1.35641132582603</v>
      </c>
      <c r="E1612">
        <v>1.6338106492423199</v>
      </c>
      <c r="F1612">
        <v>1.1199314148014301</v>
      </c>
      <c r="G1612">
        <v>1.3078919319708999</v>
      </c>
      <c r="H1612">
        <v>0.60072292506603597</v>
      </c>
      <c r="I1612">
        <v>1.1880531998702399</v>
      </c>
      <c r="J1612">
        <v>1.2070994948792799</v>
      </c>
      <c r="K1612">
        <v>1.0397608786320001</v>
      </c>
      <c r="L1612">
        <v>10705.89701038</v>
      </c>
      <c r="M1612">
        <v>250</v>
      </c>
      <c r="O1612">
        <v>42.8208474861394</v>
      </c>
      <c r="P1612">
        <v>0.26521869035255902</v>
      </c>
      <c r="Q1612">
        <v>1.1817102257787699</v>
      </c>
      <c r="R1612">
        <v>4.9122092103451503E-2</v>
      </c>
      <c r="S1612" t="s">
        <v>3486</v>
      </c>
      <c r="T1612" t="s">
        <v>3746</v>
      </c>
      <c r="U1612" t="s">
        <v>3746</v>
      </c>
      <c r="V1612" t="s">
        <v>3746</v>
      </c>
      <c r="W1612" t="s">
        <v>5346</v>
      </c>
      <c r="X1612">
        <v>3</v>
      </c>
      <c r="Y1612" t="s">
        <v>7132</v>
      </c>
      <c r="Z1612" t="s">
        <v>9000</v>
      </c>
      <c r="AA1612">
        <v>1.1645940753585531</v>
      </c>
      <c r="AB1612" t="str">
        <f>HYPERLINK("Melting_Curves/meltCurve_Q8TB96_ITFG1.pdf", "Melting_Curves/meltCurve_Q8TB96_ITFG1.pdf")</f>
        <v>Melting_Curves/meltCurve_Q8TB96_ITFG1.pdf</v>
      </c>
    </row>
    <row r="1613" spans="1:28" x14ac:dyDescent="0.25">
      <c r="A1613" t="s">
        <v>1617</v>
      </c>
      <c r="B1613">
        <v>1</v>
      </c>
      <c r="C1613">
        <v>0.80207998715065898</v>
      </c>
      <c r="D1613">
        <v>0.91868776100224903</v>
      </c>
      <c r="E1613">
        <v>1.19394474783167</v>
      </c>
      <c r="F1613">
        <v>0.75232894314166399</v>
      </c>
      <c r="G1613">
        <v>1.03686154834565</v>
      </c>
      <c r="H1613">
        <v>0.42860584645036898</v>
      </c>
      <c r="I1613">
        <v>0.78027626084163204</v>
      </c>
      <c r="J1613">
        <v>0.63809026662383606</v>
      </c>
      <c r="K1613">
        <v>0.67398811435913897</v>
      </c>
      <c r="L1613">
        <v>14685.046290206499</v>
      </c>
      <c r="M1613">
        <v>250</v>
      </c>
      <c r="O1613">
        <v>58.736427940624601</v>
      </c>
      <c r="P1613">
        <v>-0.39345195369468899</v>
      </c>
      <c r="Q1613">
        <v>0.63024061430011002</v>
      </c>
      <c r="R1613">
        <v>0.52311710992067395</v>
      </c>
      <c r="S1613" t="s">
        <v>3487</v>
      </c>
      <c r="T1613" t="s">
        <v>3746</v>
      </c>
      <c r="U1613" t="s">
        <v>3746</v>
      </c>
      <c r="V1613" t="s">
        <v>3746</v>
      </c>
      <c r="W1613" t="s">
        <v>5347</v>
      </c>
      <c r="X1613">
        <v>1</v>
      </c>
      <c r="Y1613" t="s">
        <v>7133</v>
      </c>
      <c r="Z1613" t="s">
        <v>9001</v>
      </c>
      <c r="AA1613">
        <v>0.86125737719559059</v>
      </c>
      <c r="AB1613" t="str">
        <f>HYPERLINK("Melting_Curves/meltCurve_Q8TBP5_FAM174A.pdf", "Melting_Curves/meltCurve_Q8TBP5_FAM174A.pdf")</f>
        <v>Melting_Curves/meltCurve_Q8TBP5_FAM174A.pdf</v>
      </c>
    </row>
    <row r="1614" spans="1:28" x14ac:dyDescent="0.25">
      <c r="A1614" t="s">
        <v>1618</v>
      </c>
      <c r="B1614">
        <v>1</v>
      </c>
      <c r="C1614">
        <v>1.52437171752246</v>
      </c>
      <c r="D1614">
        <v>1.9317968083105499</v>
      </c>
      <c r="E1614">
        <v>2.1611181040843799</v>
      </c>
      <c r="F1614">
        <v>1.8650983115586599</v>
      </c>
      <c r="G1614">
        <v>2.43948666753476</v>
      </c>
      <c r="H1614">
        <v>1.15146780097516</v>
      </c>
      <c r="I1614">
        <v>1.8668344980250899</v>
      </c>
      <c r="J1614">
        <v>2.03104880130793</v>
      </c>
      <c r="K1614">
        <v>1.34791729965132</v>
      </c>
      <c r="L1614">
        <v>10272.633645870899</v>
      </c>
      <c r="M1614">
        <v>250</v>
      </c>
      <c r="O1614">
        <v>41.087900348057801</v>
      </c>
      <c r="P1614">
        <v>0.760564452803418</v>
      </c>
      <c r="Q1614">
        <v>1.5</v>
      </c>
      <c r="R1614">
        <v>-0.150435228794706</v>
      </c>
      <c r="S1614" t="s">
        <v>3488</v>
      </c>
      <c r="T1614" t="s">
        <v>3746</v>
      </c>
      <c r="U1614" t="s">
        <v>3746</v>
      </c>
      <c r="V1614" t="s">
        <v>3746</v>
      </c>
      <c r="W1614" t="s">
        <v>5348</v>
      </c>
      <c r="X1614">
        <v>1</v>
      </c>
      <c r="Y1614" t="s">
        <v>7134</v>
      </c>
      <c r="Z1614" t="s">
        <v>9002</v>
      </c>
      <c r="AA1614">
        <v>1.4817855446419019</v>
      </c>
      <c r="AB1614" t="str">
        <f>HYPERLINK("Melting_Curves/meltCurve_Q8TEA8_DTD1.pdf", "Melting_Curves/meltCurve_Q8TEA8_DTD1.pdf")</f>
        <v>Melting_Curves/meltCurve_Q8TEA8_DTD1.pdf</v>
      </c>
    </row>
    <row r="1615" spans="1:28" x14ac:dyDescent="0.25">
      <c r="A1615" t="s">
        <v>1619</v>
      </c>
      <c r="B1615">
        <v>1</v>
      </c>
      <c r="C1615">
        <v>1.0774086121437401</v>
      </c>
      <c r="D1615">
        <v>1.25542131350682</v>
      </c>
      <c r="E1615">
        <v>1.5461973358116501</v>
      </c>
      <c r="F1615">
        <v>1.2817534076827799</v>
      </c>
      <c r="G1615">
        <v>1.2379956629491899</v>
      </c>
      <c r="H1615">
        <v>1.0875154894671599</v>
      </c>
      <c r="I1615">
        <v>1.2321483890954199</v>
      </c>
      <c r="J1615">
        <v>1.6029275092936801</v>
      </c>
      <c r="K1615">
        <v>1.33538568773234</v>
      </c>
      <c r="L1615">
        <v>1922.1735019584801</v>
      </c>
      <c r="M1615">
        <v>43.453647043839602</v>
      </c>
      <c r="O1615">
        <v>44.141660511941197</v>
      </c>
      <c r="P1615">
        <v>8.1158902200178698E-2</v>
      </c>
      <c r="Q1615">
        <v>1.3297751204099599</v>
      </c>
      <c r="R1615">
        <v>0.401323750252436</v>
      </c>
      <c r="S1615" t="s">
        <v>3489</v>
      </c>
      <c r="T1615" t="s">
        <v>3746</v>
      </c>
      <c r="U1615" t="s">
        <v>3746</v>
      </c>
      <c r="V1615" t="s">
        <v>3746</v>
      </c>
      <c r="W1615" t="s">
        <v>5349</v>
      </c>
      <c r="X1615">
        <v>1</v>
      </c>
      <c r="Y1615" t="s">
        <v>7135</v>
      </c>
      <c r="Z1615" t="s">
        <v>9003</v>
      </c>
      <c r="AA1615">
        <v>1.2822801399241699</v>
      </c>
      <c r="AB1615" t="str">
        <f>HYPERLINK("Melting_Curves/meltCurve_Q8WUA8_TSKU.pdf", "Melting_Curves/meltCurve_Q8WUA8_TSKU.pdf")</f>
        <v>Melting_Curves/meltCurve_Q8WUA8_TSKU.pdf</v>
      </c>
    </row>
    <row r="1616" spans="1:28" x14ac:dyDescent="0.25">
      <c r="A1616" t="s">
        <v>1620</v>
      </c>
      <c r="B1616">
        <v>1</v>
      </c>
      <c r="C1616">
        <v>1.0935639173951599</v>
      </c>
      <c r="D1616">
        <v>1.34999366527303</v>
      </c>
      <c r="E1616">
        <v>1.6851007221588701</v>
      </c>
      <c r="F1616">
        <v>1.21100975547954</v>
      </c>
      <c r="G1616">
        <v>1.397630812112</v>
      </c>
      <c r="H1616">
        <v>0.84663625997719505</v>
      </c>
      <c r="I1616">
        <v>1.3327632079057401</v>
      </c>
      <c r="J1616">
        <v>1.2334346889649099</v>
      </c>
      <c r="K1616">
        <v>1.3722919042189301</v>
      </c>
      <c r="L1616">
        <v>10759.691965694399</v>
      </c>
      <c r="M1616">
        <v>250</v>
      </c>
      <c r="O1616">
        <v>43.035997469614898</v>
      </c>
      <c r="P1616">
        <v>0.44092087549826398</v>
      </c>
      <c r="Q1616">
        <v>1.30360762950178</v>
      </c>
      <c r="R1616">
        <v>0.222345667283666</v>
      </c>
      <c r="S1616" t="s">
        <v>3490</v>
      </c>
      <c r="T1616" t="s">
        <v>3746</v>
      </c>
      <c r="U1616" t="s">
        <v>3746</v>
      </c>
      <c r="V1616" t="s">
        <v>3746</v>
      </c>
      <c r="W1616" t="s">
        <v>5350</v>
      </c>
      <c r="X1616">
        <v>4</v>
      </c>
      <c r="Y1616" t="s">
        <v>7136</v>
      </c>
      <c r="Z1616" t="s">
        <v>9004</v>
      </c>
      <c r="AA1616">
        <v>1.272831593709413</v>
      </c>
      <c r="AB1616" t="str">
        <f>HYPERLINK("Melting_Curves/meltCurve_Q8WUH6_C12orf23.pdf", "Melting_Curves/meltCurve_Q8WUH6_C12orf23.pdf")</f>
        <v>Melting_Curves/meltCurve_Q8WUH6_C12orf23.pdf</v>
      </c>
    </row>
    <row r="1617" spans="1:28" x14ac:dyDescent="0.25">
      <c r="A1617" t="s">
        <v>1621</v>
      </c>
      <c r="B1617">
        <v>1</v>
      </c>
      <c r="C1617">
        <v>0.94804060964354298</v>
      </c>
      <c r="D1617">
        <v>1.33253510938163</v>
      </c>
      <c r="E1617">
        <v>1.9334480780263901</v>
      </c>
      <c r="F1617">
        <v>1.1541570006735</v>
      </c>
      <c r="G1617">
        <v>1.36396517748011</v>
      </c>
      <c r="H1617">
        <v>0.90716904886627303</v>
      </c>
      <c r="I1617">
        <v>1.64184689066826</v>
      </c>
      <c r="J1617">
        <v>1.6632991593704001</v>
      </c>
      <c r="K1617">
        <v>1.4944249045872899</v>
      </c>
      <c r="L1617">
        <v>11452.594705592801</v>
      </c>
      <c r="M1617">
        <v>250</v>
      </c>
      <c r="O1617">
        <v>45.807447058212198</v>
      </c>
      <c r="P1617">
        <v>0.61560293138591005</v>
      </c>
      <c r="Q1617">
        <v>1.45118718049179</v>
      </c>
      <c r="R1617">
        <v>0.33197656378482698</v>
      </c>
      <c r="S1617" t="s">
        <v>3491</v>
      </c>
      <c r="T1617" t="s">
        <v>3746</v>
      </c>
      <c r="U1617" t="s">
        <v>3746</v>
      </c>
      <c r="V1617" t="s">
        <v>3746</v>
      </c>
      <c r="W1617" t="s">
        <v>5351</v>
      </c>
      <c r="X1617">
        <v>14</v>
      </c>
      <c r="Y1617" t="s">
        <v>7137</v>
      </c>
      <c r="Z1617" t="s">
        <v>9005</v>
      </c>
      <c r="AA1617">
        <v>1.3637652920056289</v>
      </c>
      <c r="AB1617" t="str">
        <f>HYPERLINK("Melting_Curves/meltCurve_Q8WUM4_PDCD6IP.pdf", "Melting_Curves/meltCurve_Q8WUM4_PDCD6IP.pdf")</f>
        <v>Melting_Curves/meltCurve_Q8WUM4_PDCD6IP.pdf</v>
      </c>
    </row>
    <row r="1618" spans="1:28" x14ac:dyDescent="0.25">
      <c r="A1618" t="s">
        <v>1622</v>
      </c>
      <c r="B1618">
        <v>1</v>
      </c>
      <c r="C1618">
        <v>1.0785510622063399</v>
      </c>
      <c r="D1618">
        <v>1.4754427533030801</v>
      </c>
      <c r="E1618">
        <v>1.83781106515133</v>
      </c>
      <c r="F1618">
        <v>1.46299345407815</v>
      </c>
      <c r="G1618">
        <v>1.3797303990468901</v>
      </c>
      <c r="H1618">
        <v>0.84647202923577403</v>
      </c>
      <c r="I1618">
        <v>1.36661178265933</v>
      </c>
      <c r="J1618">
        <v>1.2174611461387099</v>
      </c>
      <c r="K1618">
        <v>1.22993721805015</v>
      </c>
      <c r="L1618">
        <v>10778.520947368899</v>
      </c>
      <c r="M1618">
        <v>250</v>
      </c>
      <c r="O1618">
        <v>43.111324791405799</v>
      </c>
      <c r="P1618">
        <v>0.51039008423277099</v>
      </c>
      <c r="Q1618">
        <v>1.3520574825126299</v>
      </c>
      <c r="R1618">
        <v>0.223952388091989</v>
      </c>
      <c r="S1618" t="s">
        <v>3492</v>
      </c>
      <c r="T1618" t="s">
        <v>3746</v>
      </c>
      <c r="U1618" t="s">
        <v>3746</v>
      </c>
      <c r="V1618" t="s">
        <v>3746</v>
      </c>
      <c r="W1618" t="s">
        <v>5352</v>
      </c>
      <c r="X1618">
        <v>1</v>
      </c>
      <c r="Y1618" t="s">
        <v>7138</v>
      </c>
      <c r="Z1618" t="s">
        <v>9006</v>
      </c>
      <c r="AA1618">
        <v>1.31548629426173</v>
      </c>
      <c r="AB1618" t="str">
        <f>HYPERLINK("Melting_Curves/meltCurve_Q8WV88_TGFB3.pdf", "Melting_Curves/meltCurve_Q8WV88_TGFB3.pdf")</f>
        <v>Melting_Curves/meltCurve_Q8WV88_TGFB3.pdf</v>
      </c>
    </row>
    <row r="1619" spans="1:28" x14ac:dyDescent="0.25">
      <c r="A1619" t="s">
        <v>1623</v>
      </c>
      <c r="B1619">
        <v>1</v>
      </c>
      <c r="C1619">
        <v>1.17940507411218</v>
      </c>
      <c r="D1619">
        <v>1.4315458510222101</v>
      </c>
      <c r="E1619">
        <v>1.6084442963327901</v>
      </c>
      <c r="F1619">
        <v>1.2137589289595301</v>
      </c>
      <c r="G1619">
        <v>1.4188533259921501</v>
      </c>
      <c r="H1619">
        <v>0.70694176797021002</v>
      </c>
      <c r="I1619">
        <v>1.2169175710332201</v>
      </c>
      <c r="J1619">
        <v>1.1164205920280501</v>
      </c>
      <c r="K1619">
        <v>1.0499876841937501</v>
      </c>
      <c r="L1619">
        <v>0.89281314279769797</v>
      </c>
      <c r="M1619">
        <v>11.0233043540777</v>
      </c>
      <c r="Q1619">
        <v>1.19422698783001</v>
      </c>
      <c r="R1619">
        <v>-1.6973528360608699E-8</v>
      </c>
      <c r="S1619" t="s">
        <v>3493</v>
      </c>
      <c r="T1619" t="s">
        <v>3746</v>
      </c>
      <c r="U1619" t="s">
        <v>3746</v>
      </c>
      <c r="V1619" t="s">
        <v>3746</v>
      </c>
      <c r="W1619" t="s">
        <v>5353</v>
      </c>
      <c r="X1619">
        <v>3</v>
      </c>
      <c r="Y1619" t="s">
        <v>7139</v>
      </c>
      <c r="Z1619" t="s">
        <v>9007</v>
      </c>
      <c r="AA1619">
        <v>1.19422376545097</v>
      </c>
      <c r="AB1619" t="str">
        <f>HYPERLINK("Melting_Curves/meltCurve_Q8WVC2_RPS21.pdf", "Melting_Curves/meltCurve_Q8WVC2_RPS21.pdf")</f>
        <v>Melting_Curves/meltCurve_Q8WVC2_RPS21.pdf</v>
      </c>
    </row>
    <row r="1620" spans="1:28" x14ac:dyDescent="0.25">
      <c r="A1620" t="s">
        <v>1624</v>
      </c>
      <c r="B1620">
        <v>1</v>
      </c>
      <c r="C1620">
        <v>1.00932546695305</v>
      </c>
      <c r="D1620">
        <v>2.0313477066963901</v>
      </c>
      <c r="E1620">
        <v>3.1369457056632499</v>
      </c>
      <c r="F1620">
        <v>2.4288627280389301</v>
      </c>
      <c r="G1620">
        <v>3.0390690845817101</v>
      </c>
      <c r="H1620">
        <v>1.59682988499497</v>
      </c>
      <c r="I1620">
        <v>2.5322585030314602</v>
      </c>
      <c r="J1620">
        <v>2.6856801065767701</v>
      </c>
      <c r="K1620">
        <v>2.2996112123107002</v>
      </c>
      <c r="L1620">
        <v>10894.7708847503</v>
      </c>
      <c r="M1620">
        <v>250</v>
      </c>
      <c r="O1620">
        <v>43.5762948067335</v>
      </c>
      <c r="P1620">
        <v>0.71713302390508404</v>
      </c>
      <c r="Q1620">
        <v>1.5</v>
      </c>
      <c r="R1620">
        <v>-0.77920729468249605</v>
      </c>
      <c r="S1620" t="s">
        <v>3494</v>
      </c>
      <c r="T1620" t="s">
        <v>3746</v>
      </c>
      <c r="U1620" t="s">
        <v>3746</v>
      </c>
      <c r="V1620" t="s">
        <v>3746</v>
      </c>
      <c r="W1620" t="s">
        <v>5354</v>
      </c>
      <c r="X1620">
        <v>4</v>
      </c>
      <c r="Y1620" t="s">
        <v>7140</v>
      </c>
      <c r="Z1620" t="s">
        <v>9008</v>
      </c>
      <c r="AA1620">
        <v>1.4403103673761599</v>
      </c>
      <c r="AB1620" t="str">
        <f>HYPERLINK("Melting_Curves/meltCurve_Q8WVQ1_CANT1.pdf", "Melting_Curves/meltCurve_Q8WVQ1_CANT1.pdf")</f>
        <v>Melting_Curves/meltCurve_Q8WVQ1_CANT1.pdf</v>
      </c>
    </row>
    <row r="1621" spans="1:28" x14ac:dyDescent="0.25">
      <c r="A1621" t="s">
        <v>1625</v>
      </c>
      <c r="B1621">
        <v>1</v>
      </c>
      <c r="C1621">
        <v>0.93589648798521297</v>
      </c>
      <c r="D1621">
        <v>1.56480591497227</v>
      </c>
      <c r="E1621">
        <v>2.1454343807763401</v>
      </c>
      <c r="F1621">
        <v>1.53870609981516</v>
      </c>
      <c r="G1621">
        <v>2.6043622920517602</v>
      </c>
      <c r="H1621">
        <v>2.4981146025877998</v>
      </c>
      <c r="I1621">
        <v>3.3560073937153398</v>
      </c>
      <c r="J1621">
        <v>3.9605914972273601</v>
      </c>
      <c r="K1621">
        <v>3.4884288354898301</v>
      </c>
      <c r="L1621">
        <v>11100.2945784924</v>
      </c>
      <c r="M1621">
        <v>250</v>
      </c>
      <c r="O1621">
        <v>44.398336958613299</v>
      </c>
      <c r="P1621">
        <v>0.703855193579488</v>
      </c>
      <c r="Q1621">
        <v>1.5</v>
      </c>
      <c r="R1621">
        <v>-0.59189096672715102</v>
      </c>
      <c r="S1621" t="s">
        <v>3495</v>
      </c>
      <c r="T1621" t="s">
        <v>3746</v>
      </c>
      <c r="U1621" t="s">
        <v>3746</v>
      </c>
      <c r="V1621" t="s">
        <v>3746</v>
      </c>
      <c r="W1621" t="s">
        <v>5355</v>
      </c>
      <c r="X1621">
        <v>1</v>
      </c>
      <c r="Y1621" t="s">
        <v>7141</v>
      </c>
      <c r="Z1621" t="s">
        <v>9009</v>
      </c>
      <c r="AA1621">
        <v>1.4266080664120511</v>
      </c>
      <c r="AB1621" t="str">
        <f>HYPERLINK("Melting_Curves/meltCurve_Q8WVY7_UBLCP1.pdf", "Melting_Curves/meltCurve_Q8WVY7_UBLCP1.pdf")</f>
        <v>Melting_Curves/meltCurve_Q8WVY7_UBLCP1.pdf</v>
      </c>
    </row>
    <row r="1622" spans="1:28" x14ac:dyDescent="0.25">
      <c r="A1622" t="s">
        <v>1626</v>
      </c>
      <c r="B1622">
        <v>1</v>
      </c>
      <c r="C1622">
        <v>0.90060482626674099</v>
      </c>
      <c r="D1622">
        <v>0.93069184718879205</v>
      </c>
      <c r="E1622">
        <v>1.24242424242424</v>
      </c>
      <c r="F1622">
        <v>0.77973214836758598</v>
      </c>
      <c r="G1622">
        <v>1.13701166450657</v>
      </c>
      <c r="H1622">
        <v>0.43732642103314201</v>
      </c>
      <c r="I1622">
        <v>0.73483305560698597</v>
      </c>
      <c r="J1622">
        <v>0.80519039684009097</v>
      </c>
      <c r="K1622">
        <v>0.68058384249830295</v>
      </c>
      <c r="L1622">
        <v>14720.1542867793</v>
      </c>
      <c r="M1622">
        <v>250</v>
      </c>
      <c r="O1622">
        <v>58.876873878263403</v>
      </c>
      <c r="P1622">
        <v>-0.35615885172341499</v>
      </c>
      <c r="Q1622">
        <v>0.66448782352913405</v>
      </c>
      <c r="R1622">
        <v>0.55170967372609803</v>
      </c>
      <c r="S1622" t="s">
        <v>3496</v>
      </c>
      <c r="T1622" t="s">
        <v>3746</v>
      </c>
      <c r="U1622" t="s">
        <v>3746</v>
      </c>
      <c r="V1622" t="s">
        <v>3746</v>
      </c>
      <c r="W1622" t="s">
        <v>5356</v>
      </c>
      <c r="X1622">
        <v>1</v>
      </c>
      <c r="Y1622" t="s">
        <v>7142</v>
      </c>
      <c r="Z1622" t="s">
        <v>9010</v>
      </c>
      <c r="AA1622">
        <v>0.87567839193926311</v>
      </c>
      <c r="AB1622" t="str">
        <f>HYPERLINK("Melting_Curves/meltCurve_Q8WWX8_5_SLC5A11.pdf", "Melting_Curves/meltCurve_Q8WWX8_5_SLC5A11.pdf")</f>
        <v>Melting_Curves/meltCurve_Q8WWX8_5_SLC5A11.pdf</v>
      </c>
    </row>
    <row r="1623" spans="1:28" x14ac:dyDescent="0.25">
      <c r="A1623" t="s">
        <v>1627</v>
      </c>
      <c r="B1623">
        <v>1</v>
      </c>
      <c r="C1623">
        <v>1.1390443848990499</v>
      </c>
      <c r="D1623">
        <v>1.4377205316637001</v>
      </c>
      <c r="E1623">
        <v>1.82513994640915</v>
      </c>
      <c r="F1623">
        <v>1.34727933568567</v>
      </c>
      <c r="G1623">
        <v>1.6368291194651501</v>
      </c>
      <c r="H1623">
        <v>0.95285596795160898</v>
      </c>
      <c r="I1623">
        <v>1.2931048205236999</v>
      </c>
      <c r="J1623">
        <v>1.28100708354336</v>
      </c>
      <c r="K1623">
        <v>1.1966412861804601</v>
      </c>
      <c r="L1623">
        <v>10747.013747733001</v>
      </c>
      <c r="M1623">
        <v>250</v>
      </c>
      <c r="O1623">
        <v>42.985304007441499</v>
      </c>
      <c r="P1623">
        <v>0.53989711159378695</v>
      </c>
      <c r="Q1623">
        <v>1.3713222634443101</v>
      </c>
      <c r="R1623">
        <v>0.23662558126205299</v>
      </c>
      <c r="S1623" t="s">
        <v>3497</v>
      </c>
      <c r="T1623" t="s">
        <v>3746</v>
      </c>
      <c r="U1623" t="s">
        <v>3746</v>
      </c>
      <c r="V1623" t="s">
        <v>3746</v>
      </c>
      <c r="W1623" t="s">
        <v>5357</v>
      </c>
      <c r="X1623">
        <v>4</v>
      </c>
      <c r="Y1623" t="s">
        <v>7143</v>
      </c>
      <c r="Z1623" t="s">
        <v>9011</v>
      </c>
      <c r="AA1623">
        <v>1.334309871543863</v>
      </c>
      <c r="AB1623" t="str">
        <f>HYPERLINK("Melting_Curves/meltCurve_Q8WWX9_SELM.pdf", "Melting_Curves/meltCurve_Q8WWX9_SELM.pdf")</f>
        <v>Melting_Curves/meltCurve_Q8WWX9_SELM.pdf</v>
      </c>
    </row>
    <row r="1624" spans="1:28" x14ac:dyDescent="0.25">
      <c r="A1624" t="s">
        <v>1628</v>
      </c>
      <c r="B1624">
        <v>1</v>
      </c>
      <c r="C1624">
        <v>1.0238521513138901</v>
      </c>
      <c r="D1624">
        <v>1.2232746173837701</v>
      </c>
      <c r="E1624">
        <v>1.29280970257003</v>
      </c>
      <c r="F1624">
        <v>1.3320242564250699</v>
      </c>
      <c r="G1624">
        <v>1.22154201559342</v>
      </c>
      <c r="H1624">
        <v>0.67837135431706597</v>
      </c>
      <c r="I1624">
        <v>0.96656078544614499</v>
      </c>
      <c r="J1624">
        <v>1.1302339012417</v>
      </c>
      <c r="K1624">
        <v>0.93468091250360996</v>
      </c>
      <c r="L1624">
        <v>15000</v>
      </c>
      <c r="M1624">
        <v>211.62462714703801</v>
      </c>
      <c r="Q1624">
        <v>0</v>
      </c>
      <c r="R1624">
        <v>-0.16895496267986301</v>
      </c>
      <c r="S1624" t="s">
        <v>3498</v>
      </c>
      <c r="T1624" t="s">
        <v>3746</v>
      </c>
      <c r="U1624" t="s">
        <v>3746</v>
      </c>
      <c r="V1624" t="s">
        <v>3746</v>
      </c>
      <c r="W1624" t="s">
        <v>5358</v>
      </c>
      <c r="X1624">
        <v>1</v>
      </c>
      <c r="Y1624" t="s">
        <v>7144</v>
      </c>
      <c r="Z1624" t="s">
        <v>9012</v>
      </c>
      <c r="AA1624">
        <v>0.99927145692689545</v>
      </c>
      <c r="AB1624" t="str">
        <f>HYPERLINK("Melting_Curves/meltCurve_Q8WYA0_4_IFT81.pdf", "Melting_Curves/meltCurve_Q8WYA0_4_IFT81.pdf")</f>
        <v>Melting_Curves/meltCurve_Q8WYA0_4_IFT81.pdf</v>
      </c>
    </row>
    <row r="1625" spans="1:28" x14ac:dyDescent="0.25">
      <c r="A1625" t="s">
        <v>1629</v>
      </c>
      <c r="B1625">
        <v>1</v>
      </c>
      <c r="C1625">
        <v>1.0649736801532901</v>
      </c>
      <c r="D1625">
        <v>1.3850406360813201</v>
      </c>
      <c r="E1625">
        <v>2.0056163689624</v>
      </c>
      <c r="F1625">
        <v>1.69614342664582</v>
      </c>
      <c r="G1625">
        <v>2.0592031363566301</v>
      </c>
      <c r="H1625">
        <v>1.48703830143383</v>
      </c>
      <c r="I1625">
        <v>2.3938946765632201</v>
      </c>
      <c r="J1625">
        <v>2.4066691628306498</v>
      </c>
      <c r="K1625">
        <v>2.0151091337576799</v>
      </c>
      <c r="L1625">
        <v>2474.9966394200801</v>
      </c>
      <c r="M1625">
        <v>55.2862206877506</v>
      </c>
      <c r="O1625">
        <v>44.708526597748502</v>
      </c>
      <c r="P1625">
        <v>0.154574172286435</v>
      </c>
      <c r="Q1625">
        <v>1.5</v>
      </c>
      <c r="R1625">
        <v>-7.8671848706353395E-2</v>
      </c>
      <c r="S1625" t="s">
        <v>3499</v>
      </c>
      <c r="T1625" t="s">
        <v>3746</v>
      </c>
      <c r="U1625" t="s">
        <v>3746</v>
      </c>
      <c r="V1625" t="s">
        <v>3746</v>
      </c>
      <c r="W1625" t="s">
        <v>5359</v>
      </c>
      <c r="X1625">
        <v>3</v>
      </c>
      <c r="Y1625" t="s">
        <v>7145</v>
      </c>
      <c r="Z1625" t="s">
        <v>9013</v>
      </c>
      <c r="AA1625">
        <v>1.4197293926377419</v>
      </c>
      <c r="AB1625" t="str">
        <f>HYPERLINK("Melting_Curves/meltCurve_Q8WYQ7_LGALS9.pdf", "Melting_Curves/meltCurve_Q8WYQ7_LGALS9.pdf")</f>
        <v>Melting_Curves/meltCurve_Q8WYQ7_LGALS9.pdf</v>
      </c>
    </row>
    <row r="1626" spans="1:28" x14ac:dyDescent="0.25">
      <c r="A1626" t="s">
        <v>1630</v>
      </c>
      <c r="B1626">
        <v>1</v>
      </c>
      <c r="C1626">
        <v>1.13521914827479</v>
      </c>
      <c r="D1626">
        <v>1.3819764320230601</v>
      </c>
      <c r="E1626">
        <v>1.81970780230028</v>
      </c>
      <c r="F1626">
        <v>1.2927346200582099</v>
      </c>
      <c r="G1626">
        <v>1.5299686325486801</v>
      </c>
      <c r="H1626">
        <v>0.84418006612597896</v>
      </c>
      <c r="I1626">
        <v>1.23305168564727</v>
      </c>
      <c r="J1626">
        <v>1.23118659394693</v>
      </c>
      <c r="K1626">
        <v>1.24048379348348</v>
      </c>
      <c r="L1626">
        <v>10738.780489274901</v>
      </c>
      <c r="M1626">
        <v>250</v>
      </c>
      <c r="O1626">
        <v>42.952373060829402</v>
      </c>
      <c r="P1626">
        <v>0.46804923342654697</v>
      </c>
      <c r="Q1626">
        <v>1.32166120458229</v>
      </c>
      <c r="R1626">
        <v>0.17059113624755501</v>
      </c>
      <c r="S1626" t="s">
        <v>3500</v>
      </c>
      <c r="T1626" t="s">
        <v>3746</v>
      </c>
      <c r="U1626" t="s">
        <v>3746</v>
      </c>
      <c r="V1626" t="s">
        <v>3746</v>
      </c>
      <c r="W1626" t="s">
        <v>5360</v>
      </c>
      <c r="X1626">
        <v>1</v>
      </c>
      <c r="Y1626" t="s">
        <v>7146</v>
      </c>
      <c r="Z1626" t="s">
        <v>9014</v>
      </c>
      <c r="AA1626">
        <v>1.289952019673497</v>
      </c>
      <c r="AB1626" t="str">
        <f>HYPERLINK("Melting_Curves/meltCurve_Q8WZA0_LZIC.pdf", "Melting_Curves/meltCurve_Q8WZA0_LZIC.pdf")</f>
        <v>Melting_Curves/meltCurve_Q8WZA0_LZIC.pdf</v>
      </c>
    </row>
    <row r="1627" spans="1:28" x14ac:dyDescent="0.25">
      <c r="A1627" t="s">
        <v>1631</v>
      </c>
      <c r="B1627">
        <v>1</v>
      </c>
      <c r="C1627">
        <v>1.1480618209201401</v>
      </c>
      <c r="D1627">
        <v>1.2642091297020099</v>
      </c>
      <c r="E1627">
        <v>1.70939864452971</v>
      </c>
      <c r="F1627">
        <v>1.68777566608097</v>
      </c>
      <c r="G1627">
        <v>2.1479542439129302</v>
      </c>
      <c r="H1627">
        <v>1.57704306666189</v>
      </c>
      <c r="I1627">
        <v>2.2547064940653301</v>
      </c>
      <c r="J1627">
        <v>2.3601319611288401</v>
      </c>
      <c r="K1627">
        <v>2.3255997418151799</v>
      </c>
      <c r="L1627">
        <v>1614.2593778507501</v>
      </c>
      <c r="M1627">
        <v>35.848812258362202</v>
      </c>
      <c r="O1627">
        <v>44.890223442713001</v>
      </c>
      <c r="P1627">
        <v>9.9823890093698103E-2</v>
      </c>
      <c r="Q1627">
        <v>1.5</v>
      </c>
      <c r="R1627">
        <v>-8.7258657774926099E-2</v>
      </c>
      <c r="S1627" t="s">
        <v>3501</v>
      </c>
      <c r="T1627" t="s">
        <v>3746</v>
      </c>
      <c r="U1627" t="s">
        <v>3746</v>
      </c>
      <c r="V1627" t="s">
        <v>3746</v>
      </c>
      <c r="W1627" t="s">
        <v>5361</v>
      </c>
      <c r="X1627">
        <v>3</v>
      </c>
      <c r="Y1627" t="s">
        <v>7147</v>
      </c>
      <c r="Z1627" t="s">
        <v>9015</v>
      </c>
      <c r="AA1627">
        <v>1.4140575739473531</v>
      </c>
      <c r="AB1627" t="str">
        <f>HYPERLINK("Melting_Curves/meltCurve_Q8WZA9_IRGQ.pdf", "Melting_Curves/meltCurve_Q8WZA9_IRGQ.pdf")</f>
        <v>Melting_Curves/meltCurve_Q8WZA9_IRGQ.pdf</v>
      </c>
    </row>
    <row r="1628" spans="1:28" x14ac:dyDescent="0.25">
      <c r="A1628" t="s">
        <v>1632</v>
      </c>
      <c r="B1628">
        <v>1</v>
      </c>
      <c r="C1628">
        <v>0.89031013291410599</v>
      </c>
      <c r="D1628">
        <v>1.26011147634701</v>
      </c>
      <c r="E1628">
        <v>1.4261540660283001</v>
      </c>
      <c r="F1628">
        <v>0.82225239388309301</v>
      </c>
      <c r="G1628">
        <v>0.89738459339717003</v>
      </c>
      <c r="H1628">
        <v>0.66625696727168804</v>
      </c>
      <c r="I1628">
        <v>0.87285979705588101</v>
      </c>
      <c r="J1628">
        <v>0.90868943833071303</v>
      </c>
      <c r="K1628">
        <v>0.86644276118336405</v>
      </c>
      <c r="L1628">
        <v>12948.3270807882</v>
      </c>
      <c r="M1628">
        <v>250</v>
      </c>
      <c r="O1628">
        <v>51.789994389111598</v>
      </c>
      <c r="P1628">
        <v>-0.194403582880393</v>
      </c>
      <c r="Q1628">
        <v>0.83890943426006503</v>
      </c>
      <c r="R1628">
        <v>0.31756084567262699</v>
      </c>
      <c r="S1628" t="s">
        <v>3502</v>
      </c>
      <c r="T1628" t="s">
        <v>3746</v>
      </c>
      <c r="U1628" t="s">
        <v>3746</v>
      </c>
      <c r="V1628" t="s">
        <v>3746</v>
      </c>
      <c r="W1628" t="s">
        <v>5362</v>
      </c>
      <c r="X1628">
        <v>5</v>
      </c>
      <c r="Y1628" t="s">
        <v>7148</v>
      </c>
      <c r="Z1628" t="s">
        <v>9016</v>
      </c>
      <c r="AA1628">
        <v>0.9022504338113625</v>
      </c>
      <c r="AB1628" t="str">
        <f>HYPERLINK("Melting_Curves/meltCurve_Q92485_SMPDL3B.pdf", "Melting_Curves/meltCurve_Q92485_SMPDL3B.pdf")</f>
        <v>Melting_Curves/meltCurve_Q92485_SMPDL3B.pdf</v>
      </c>
    </row>
    <row r="1629" spans="1:28" x14ac:dyDescent="0.25">
      <c r="A1629" t="s">
        <v>1633</v>
      </c>
      <c r="B1629">
        <v>1</v>
      </c>
      <c r="C1629">
        <v>0.95994387039163198</v>
      </c>
      <c r="D1629">
        <v>1.3307252909242999</v>
      </c>
      <c r="E1629">
        <v>1.5869371093251701</v>
      </c>
      <c r="F1629">
        <v>1.36739380022962</v>
      </c>
      <c r="G1629">
        <v>1.5234369463225199</v>
      </c>
      <c r="H1629">
        <v>0.72445464982778396</v>
      </c>
      <c r="I1629">
        <v>1.46560644073082</v>
      </c>
      <c r="J1629">
        <v>1.29820980567249</v>
      </c>
      <c r="K1629">
        <v>1.3173448994344501</v>
      </c>
      <c r="L1629">
        <v>11151.1147339827</v>
      </c>
      <c r="M1629">
        <v>250</v>
      </c>
      <c r="O1629">
        <v>44.6016045583482</v>
      </c>
      <c r="P1629">
        <v>0.45792055778545498</v>
      </c>
      <c r="Q1629">
        <v>1.3267838657292901</v>
      </c>
      <c r="R1629">
        <v>0.28005362965325897</v>
      </c>
      <c r="S1629" t="s">
        <v>3503</v>
      </c>
      <c r="T1629" t="s">
        <v>3746</v>
      </c>
      <c r="U1629" t="s">
        <v>3746</v>
      </c>
      <c r="V1629" t="s">
        <v>3746</v>
      </c>
      <c r="W1629" t="s">
        <v>5363</v>
      </c>
      <c r="X1629">
        <v>2</v>
      </c>
      <c r="Y1629" t="s">
        <v>7149</v>
      </c>
      <c r="Z1629" t="s">
        <v>9017</v>
      </c>
      <c r="AA1629">
        <v>1.276602855356221</v>
      </c>
      <c r="AB1629" t="str">
        <f>HYPERLINK("Melting_Curves/meltCurve_Q92499_DDX1.pdf", "Melting_Curves/meltCurve_Q92499_DDX1.pdf")</f>
        <v>Melting_Curves/meltCurve_Q92499_DDX1.pdf</v>
      </c>
    </row>
    <row r="1630" spans="1:28" x14ac:dyDescent="0.25">
      <c r="A1630" t="s">
        <v>1634</v>
      </c>
      <c r="B1630">
        <v>1</v>
      </c>
      <c r="C1630">
        <v>1.12560308780959</v>
      </c>
      <c r="D1630">
        <v>1.501447410743</v>
      </c>
      <c r="E1630">
        <v>1.8824380829848799</v>
      </c>
      <c r="F1630">
        <v>1.42891605017691</v>
      </c>
      <c r="G1630">
        <v>1.67232229012544</v>
      </c>
      <c r="H1630">
        <v>1.1453039562560301</v>
      </c>
      <c r="I1630">
        <v>1.5950466387906099</v>
      </c>
      <c r="J1630">
        <v>1.66267288517208</v>
      </c>
      <c r="K1630">
        <v>1.5648922483113501</v>
      </c>
      <c r="L1630">
        <v>10771.8549359728</v>
      </c>
      <c r="M1630">
        <v>250</v>
      </c>
      <c r="O1630">
        <v>43.084662536872003</v>
      </c>
      <c r="P1630">
        <v>0.72531611646958905</v>
      </c>
      <c r="Q1630">
        <v>1.5</v>
      </c>
      <c r="R1630">
        <v>0.51800789283538096</v>
      </c>
      <c r="S1630" t="s">
        <v>3504</v>
      </c>
      <c r="T1630" t="s">
        <v>3746</v>
      </c>
      <c r="U1630" t="s">
        <v>3746</v>
      </c>
      <c r="V1630" t="s">
        <v>3746</v>
      </c>
      <c r="W1630" t="s">
        <v>5364</v>
      </c>
      <c r="X1630">
        <v>8</v>
      </c>
      <c r="Y1630" t="s">
        <v>7150</v>
      </c>
      <c r="Z1630" t="s">
        <v>9018</v>
      </c>
      <c r="AA1630">
        <v>1.4485051953827119</v>
      </c>
      <c r="AB1630" t="str">
        <f>HYPERLINK("Melting_Curves/meltCurve_Q92520_FAM3C.pdf", "Melting_Curves/meltCurve_Q92520_FAM3C.pdf")</f>
        <v>Melting_Curves/meltCurve_Q92520_FAM3C.pdf</v>
      </c>
    </row>
    <row r="1631" spans="1:28" x14ac:dyDescent="0.25">
      <c r="A1631" t="s">
        <v>1635</v>
      </c>
      <c r="B1631">
        <v>1</v>
      </c>
      <c r="C1631">
        <v>0.90813098892920296</v>
      </c>
      <c r="D1631">
        <v>1.12819797190436</v>
      </c>
      <c r="E1631">
        <v>1.18606381989022</v>
      </c>
      <c r="F1631">
        <v>0.84268304028281704</v>
      </c>
      <c r="G1631">
        <v>1.03311935994046</v>
      </c>
      <c r="H1631">
        <v>0.46807144850683802</v>
      </c>
      <c r="I1631">
        <v>0.82985393990138601</v>
      </c>
      <c r="J1631">
        <v>0.73530560982417004</v>
      </c>
      <c r="K1631">
        <v>0.79506000558191503</v>
      </c>
      <c r="L1631">
        <v>14676.5833461529</v>
      </c>
      <c r="M1631">
        <v>250</v>
      </c>
      <c r="O1631">
        <v>58.702576412220999</v>
      </c>
      <c r="P1631">
        <v>-0.31187269189322497</v>
      </c>
      <c r="Q1631">
        <v>0.70707631113470204</v>
      </c>
      <c r="R1631">
        <v>0.57849315885661201</v>
      </c>
      <c r="S1631" t="s">
        <v>3505</v>
      </c>
      <c r="T1631" t="s">
        <v>3746</v>
      </c>
      <c r="U1631" t="s">
        <v>3746</v>
      </c>
      <c r="V1631" t="s">
        <v>3746</v>
      </c>
      <c r="W1631" t="s">
        <v>5365</v>
      </c>
      <c r="X1631">
        <v>4</v>
      </c>
      <c r="Y1631" t="s">
        <v>7151</v>
      </c>
      <c r="Z1631" t="s">
        <v>9019</v>
      </c>
      <c r="AA1631">
        <v>0.8897574300207971</v>
      </c>
      <c r="AB1631" t="str">
        <f>HYPERLINK("Melting_Curves/meltCurve_Q92597_NDRG1.pdf", "Melting_Curves/meltCurve_Q92597_NDRG1.pdf")</f>
        <v>Melting_Curves/meltCurve_Q92597_NDRG1.pdf</v>
      </c>
    </row>
    <row r="1632" spans="1:28" x14ac:dyDescent="0.25">
      <c r="A1632" t="s">
        <v>1636</v>
      </c>
      <c r="B1632">
        <v>1</v>
      </c>
      <c r="C1632">
        <v>0.913019526228806</v>
      </c>
      <c r="D1632">
        <v>1.4009916141274401</v>
      </c>
      <c r="E1632">
        <v>1.9273428414029501</v>
      </c>
      <c r="F1632">
        <v>1.6582603905245801</v>
      </c>
      <c r="G1632">
        <v>1.71328885352268</v>
      </c>
      <c r="H1632">
        <v>1.0847156760727199</v>
      </c>
      <c r="I1632">
        <v>1.7050254024606699</v>
      </c>
      <c r="J1632">
        <v>1.6067821509457101</v>
      </c>
      <c r="K1632">
        <v>1.3460243618779499</v>
      </c>
      <c r="L1632">
        <v>11435.658166555801</v>
      </c>
      <c r="M1632">
        <v>250</v>
      </c>
      <c r="O1632">
        <v>45.739705455020101</v>
      </c>
      <c r="P1632">
        <v>0.68321384528471396</v>
      </c>
      <c r="Q1632">
        <v>1.5</v>
      </c>
      <c r="R1632">
        <v>0.521071005542324</v>
      </c>
      <c r="S1632" t="s">
        <v>3506</v>
      </c>
      <c r="T1632" t="s">
        <v>3746</v>
      </c>
      <c r="U1632" t="s">
        <v>3746</v>
      </c>
      <c r="V1632" t="s">
        <v>3746</v>
      </c>
      <c r="W1632" t="s">
        <v>5366</v>
      </c>
      <c r="X1632">
        <v>7</v>
      </c>
      <c r="Y1632" t="s">
        <v>7152</v>
      </c>
      <c r="Z1632" t="s">
        <v>9020</v>
      </c>
      <c r="AA1632">
        <v>1.404249316758736</v>
      </c>
      <c r="AB1632" t="str">
        <f>HYPERLINK("Melting_Curves/meltCurve_Q92598_2_HSPH1.pdf", "Melting_Curves/meltCurve_Q92598_2_HSPH1.pdf")</f>
        <v>Melting_Curves/meltCurve_Q92598_2_HSPH1.pdf</v>
      </c>
    </row>
    <row r="1633" spans="1:28" x14ac:dyDescent="0.25">
      <c r="A1633" t="s">
        <v>1637</v>
      </c>
      <c r="B1633">
        <v>1</v>
      </c>
      <c r="C1633">
        <v>0.93994965839625999</v>
      </c>
      <c r="D1633">
        <v>1.21796715809661</v>
      </c>
      <c r="E1633">
        <v>1.4507970753925401</v>
      </c>
      <c r="F1633">
        <v>1.10326021814695</v>
      </c>
      <c r="G1633">
        <v>1.21814694953854</v>
      </c>
      <c r="H1633">
        <v>0.876003835550761</v>
      </c>
      <c r="I1633">
        <v>1.1914179551720001</v>
      </c>
      <c r="J1633">
        <v>1.18302768788206</v>
      </c>
      <c r="K1633">
        <v>1.05825242718447</v>
      </c>
      <c r="L1633">
        <v>11102.0246725834</v>
      </c>
      <c r="M1633">
        <v>250</v>
      </c>
      <c r="O1633">
        <v>44.40523435907</v>
      </c>
      <c r="P1633">
        <v>0.228520733652574</v>
      </c>
      <c r="Q1633">
        <v>1.1623603504969</v>
      </c>
      <c r="R1633">
        <v>0.231467418007409</v>
      </c>
      <c r="S1633" t="s">
        <v>3507</v>
      </c>
      <c r="T1633" t="s">
        <v>3746</v>
      </c>
      <c r="U1633" t="s">
        <v>3746</v>
      </c>
      <c r="V1633" t="s">
        <v>3746</v>
      </c>
      <c r="W1633" t="s">
        <v>5367</v>
      </c>
      <c r="X1633">
        <v>2</v>
      </c>
      <c r="Y1633" t="s">
        <v>7153</v>
      </c>
      <c r="Z1633" t="s">
        <v>9021</v>
      </c>
      <c r="AA1633">
        <v>1.1384910152453049</v>
      </c>
      <c r="AB1633" t="str">
        <f>HYPERLINK("Melting_Curves/meltCurve_Q92626_PXDN.pdf", "Melting_Curves/meltCurve_Q92626_PXDN.pdf")</f>
        <v>Melting_Curves/meltCurve_Q92626_PXDN.pdf</v>
      </c>
    </row>
    <row r="1634" spans="1:28" x14ac:dyDescent="0.25">
      <c r="A1634" t="s">
        <v>1638</v>
      </c>
      <c r="B1634">
        <v>1</v>
      </c>
      <c r="C1634">
        <v>1.02869403370903</v>
      </c>
      <c r="D1634">
        <v>1.58820184055423</v>
      </c>
      <c r="E1634">
        <v>1.95367593837245</v>
      </c>
      <c r="F1634">
        <v>1.5464274635508199</v>
      </c>
      <c r="G1634">
        <v>1.66564988108779</v>
      </c>
      <c r="H1634">
        <v>1.1682866301313199</v>
      </c>
      <c r="I1634">
        <v>1.6677179195533001</v>
      </c>
      <c r="J1634">
        <v>1.57388067418054</v>
      </c>
      <c r="K1634">
        <v>1.4890393961327699</v>
      </c>
      <c r="L1634">
        <v>10845.067725304199</v>
      </c>
      <c r="M1634">
        <v>250</v>
      </c>
      <c r="O1634">
        <v>43.377495306194398</v>
      </c>
      <c r="P1634">
        <v>0.72041965870730196</v>
      </c>
      <c r="Q1634">
        <v>1.5</v>
      </c>
      <c r="R1634">
        <v>0.54420356940810699</v>
      </c>
      <c r="S1634" t="s">
        <v>3508</v>
      </c>
      <c r="T1634" t="s">
        <v>3746</v>
      </c>
      <c r="U1634" t="s">
        <v>3746</v>
      </c>
      <c r="V1634" t="s">
        <v>3746</v>
      </c>
      <c r="W1634" t="s">
        <v>5368</v>
      </c>
      <c r="X1634">
        <v>6</v>
      </c>
      <c r="Y1634" t="s">
        <v>7154</v>
      </c>
      <c r="Z1634" t="s">
        <v>9022</v>
      </c>
      <c r="AA1634">
        <v>1.443624085794623</v>
      </c>
      <c r="AB1634" t="str">
        <f>HYPERLINK("Melting_Curves/meltCurve_Q92673_SORL1.pdf", "Melting_Curves/meltCurve_Q92673_SORL1.pdf")</f>
        <v>Melting_Curves/meltCurve_Q92673_SORL1.pdf</v>
      </c>
    </row>
    <row r="1635" spans="1:28" x14ac:dyDescent="0.25">
      <c r="A1635" t="s">
        <v>1639</v>
      </c>
      <c r="B1635">
        <v>1</v>
      </c>
      <c r="C1635">
        <v>0.98578859372097305</v>
      </c>
      <c r="D1635">
        <v>1.2800792618737999</v>
      </c>
      <c r="E1635">
        <v>1.55882717196111</v>
      </c>
      <c r="F1635">
        <v>1.1429809895349601</v>
      </c>
      <c r="G1635">
        <v>1.0987058022168601</v>
      </c>
      <c r="H1635">
        <v>0.64127809771502897</v>
      </c>
      <c r="I1635">
        <v>1.0606539104588499</v>
      </c>
      <c r="J1635">
        <v>1.0242739488513199</v>
      </c>
      <c r="K1635">
        <v>0.97578797448758403</v>
      </c>
      <c r="L1635">
        <v>11044.113966446301</v>
      </c>
      <c r="M1635">
        <v>250</v>
      </c>
      <c r="O1635">
        <v>44.173628561612198</v>
      </c>
      <c r="P1635">
        <v>0.13840528928488299</v>
      </c>
      <c r="Q1635">
        <v>1.0978218219959801</v>
      </c>
      <c r="R1635">
        <v>3.5333380326733103E-2</v>
      </c>
      <c r="S1635" t="s">
        <v>3509</v>
      </c>
      <c r="T1635" t="s">
        <v>3746</v>
      </c>
      <c r="U1635" t="s">
        <v>3746</v>
      </c>
      <c r="V1635" t="s">
        <v>3746</v>
      </c>
      <c r="W1635" t="s">
        <v>5369</v>
      </c>
      <c r="X1635">
        <v>4</v>
      </c>
      <c r="Y1635" t="s">
        <v>7155</v>
      </c>
      <c r="Z1635" t="s">
        <v>9023</v>
      </c>
      <c r="AA1635">
        <v>1.0841959538927759</v>
      </c>
      <c r="AB1635" t="str">
        <f>HYPERLINK("Melting_Curves/meltCurve_Q92692_2_PVRL2.pdf", "Melting_Curves/meltCurve_Q92692_2_PVRL2.pdf")</f>
        <v>Melting_Curves/meltCurve_Q92692_2_PVRL2.pdf</v>
      </c>
    </row>
    <row r="1636" spans="1:28" x14ac:dyDescent="0.25">
      <c r="A1636" t="s">
        <v>1640</v>
      </c>
      <c r="B1636">
        <v>1</v>
      </c>
      <c r="C1636">
        <v>1.71916121911877</v>
      </c>
      <c r="D1636">
        <v>1.9095848544019001</v>
      </c>
      <c r="E1636">
        <v>2.0155361236098099</v>
      </c>
      <c r="F1636">
        <v>2.0415994566601601</v>
      </c>
      <c r="G1636">
        <v>2.7802020545037802</v>
      </c>
      <c r="H1636">
        <v>2.0393921385516598</v>
      </c>
      <c r="I1636">
        <v>4.1857543085151496</v>
      </c>
      <c r="J1636">
        <v>3.3342388997368202</v>
      </c>
      <c r="K1636">
        <v>3.1854147211138502</v>
      </c>
      <c r="S1636" t="s">
        <v>3510</v>
      </c>
      <c r="T1636" t="s">
        <v>3746</v>
      </c>
      <c r="U1636" t="s">
        <v>3747</v>
      </c>
      <c r="V1636" t="s">
        <v>3746</v>
      </c>
      <c r="W1636" t="s">
        <v>5370</v>
      </c>
      <c r="X1636">
        <v>1</v>
      </c>
      <c r="Y1636" t="s">
        <v>7156</v>
      </c>
      <c r="Z1636" t="s">
        <v>9024</v>
      </c>
      <c r="AB1636" t="str">
        <f>HYPERLINK("Melting_Curves/meltCurve_Q92747_ARPC1A.pdf", "Melting_Curves/meltCurve_Q92747_ARPC1A.pdf")</f>
        <v>Melting_Curves/meltCurve_Q92747_ARPC1A.pdf</v>
      </c>
    </row>
    <row r="1637" spans="1:28" x14ac:dyDescent="0.25">
      <c r="A1637" t="s">
        <v>1641</v>
      </c>
      <c r="B1637">
        <v>1</v>
      </c>
      <c r="C1637">
        <v>1.09848484848485</v>
      </c>
      <c r="D1637">
        <v>1.7914960414960399</v>
      </c>
      <c r="E1637">
        <v>2.62032487032487</v>
      </c>
      <c r="F1637">
        <v>1.7895167895167901</v>
      </c>
      <c r="G1637">
        <v>2.2757302757302802</v>
      </c>
      <c r="H1637">
        <v>0.890595140595141</v>
      </c>
      <c r="I1637">
        <v>1.8963963963963999</v>
      </c>
      <c r="J1637">
        <v>1.8463690963691</v>
      </c>
      <c r="K1637">
        <v>1.8971471471471499</v>
      </c>
      <c r="L1637">
        <v>10785.2890409993</v>
      </c>
      <c r="M1637">
        <v>250</v>
      </c>
      <c r="O1637">
        <v>43.138377901980199</v>
      </c>
      <c r="P1637">
        <v>0.724412664277161</v>
      </c>
      <c r="Q1637">
        <v>1.5</v>
      </c>
      <c r="R1637">
        <v>-1.1550017722215001E-2</v>
      </c>
      <c r="S1637" t="s">
        <v>3511</v>
      </c>
      <c r="T1637" t="s">
        <v>3746</v>
      </c>
      <c r="U1637" t="s">
        <v>3746</v>
      </c>
      <c r="V1637" t="s">
        <v>3746</v>
      </c>
      <c r="W1637" t="s">
        <v>5371</v>
      </c>
      <c r="X1637">
        <v>1</v>
      </c>
      <c r="Y1637" t="s">
        <v>7157</v>
      </c>
      <c r="Z1637" t="s">
        <v>9025</v>
      </c>
      <c r="AA1637">
        <v>1.4476095412305121</v>
      </c>
      <c r="AB1637" t="str">
        <f>HYPERLINK("Melting_Curves/meltCurve_Q92820_GGH.pdf", "Melting_Curves/meltCurve_Q92820_GGH.pdf")</f>
        <v>Melting_Curves/meltCurve_Q92820_GGH.pdf</v>
      </c>
    </row>
    <row r="1638" spans="1:28" x14ac:dyDescent="0.25">
      <c r="A1638" t="s">
        <v>1642</v>
      </c>
      <c r="B1638">
        <v>1</v>
      </c>
      <c r="C1638">
        <v>0.98322275604362097</v>
      </c>
      <c r="D1638">
        <v>1.4421566384503901</v>
      </c>
      <c r="E1638">
        <v>1.64111949973309</v>
      </c>
      <c r="F1638">
        <v>1.0950202089529499</v>
      </c>
      <c r="G1638">
        <v>1.3805383970106</v>
      </c>
      <c r="H1638">
        <v>0.51158392434988198</v>
      </c>
      <c r="I1638">
        <v>1.1374208800427099</v>
      </c>
      <c r="J1638">
        <v>1.12903225806452</v>
      </c>
      <c r="K1638">
        <v>1.13848852283993</v>
      </c>
      <c r="L1638">
        <v>15000</v>
      </c>
      <c r="M1638">
        <v>237.845150845582</v>
      </c>
      <c r="O1638">
        <v>63.061783879639997</v>
      </c>
      <c r="P1638">
        <v>0.12846723225897</v>
      </c>
      <c r="Q1638">
        <v>1.1362461718185499</v>
      </c>
      <c r="R1638">
        <v>-0.18802401247700401</v>
      </c>
      <c r="S1638" t="s">
        <v>3512</v>
      </c>
      <c r="T1638" t="s">
        <v>3746</v>
      </c>
      <c r="U1638" t="s">
        <v>3746</v>
      </c>
      <c r="V1638" t="s">
        <v>3746</v>
      </c>
      <c r="W1638" t="s">
        <v>5372</v>
      </c>
      <c r="X1638">
        <v>6</v>
      </c>
      <c r="Y1638" t="s">
        <v>7158</v>
      </c>
      <c r="Z1638" t="s">
        <v>9026</v>
      </c>
      <c r="AA1638">
        <v>1.031473268965766</v>
      </c>
      <c r="AB1638" t="str">
        <f>HYPERLINK("Melting_Curves/meltCurve_Q92859_3_NEO1.pdf", "Melting_Curves/meltCurve_Q92859_3_NEO1.pdf")</f>
        <v>Melting_Curves/meltCurve_Q92859_3_NEO1.pdf</v>
      </c>
    </row>
    <row r="1639" spans="1:28" x14ac:dyDescent="0.25">
      <c r="A1639" t="s">
        <v>1643</v>
      </c>
      <c r="B1639">
        <v>1</v>
      </c>
      <c r="C1639">
        <v>1.08533289074355</v>
      </c>
      <c r="D1639">
        <v>1.2951441578148699</v>
      </c>
      <c r="E1639">
        <v>1.5249430955993899</v>
      </c>
      <c r="F1639">
        <v>0.996514605462822</v>
      </c>
      <c r="G1639">
        <v>1.17462537936267</v>
      </c>
      <c r="H1639">
        <v>0.678727238239757</v>
      </c>
      <c r="I1639">
        <v>1.03689301972686</v>
      </c>
      <c r="J1639">
        <v>1.0160754931714699</v>
      </c>
      <c r="K1639">
        <v>0.948620068285281</v>
      </c>
      <c r="L1639">
        <v>10288.7953857667</v>
      </c>
      <c r="M1639">
        <v>250</v>
      </c>
      <c r="O1639">
        <v>41.152547865004202</v>
      </c>
      <c r="P1639">
        <v>0.12772246246678901</v>
      </c>
      <c r="Q1639">
        <v>1.0840976759427201</v>
      </c>
      <c r="R1639">
        <v>1.41242090540863E-2</v>
      </c>
      <c r="S1639" t="s">
        <v>3513</v>
      </c>
      <c r="T1639" t="s">
        <v>3746</v>
      </c>
      <c r="U1639" t="s">
        <v>3746</v>
      </c>
      <c r="V1639" t="s">
        <v>3746</v>
      </c>
      <c r="W1639" t="s">
        <v>5373</v>
      </c>
      <c r="X1639">
        <v>11</v>
      </c>
      <c r="Y1639" t="s">
        <v>7159</v>
      </c>
      <c r="Z1639" t="s">
        <v>9027</v>
      </c>
      <c r="AA1639">
        <v>1.0808530159254339</v>
      </c>
      <c r="AB1639" t="str">
        <f>HYPERLINK("Melting_Curves/meltCurve_Q92876_KLK6.pdf", "Melting_Curves/meltCurve_Q92876_KLK6.pdf")</f>
        <v>Melting_Curves/meltCurve_Q92876_KLK6.pdf</v>
      </c>
    </row>
    <row r="1640" spans="1:28" x14ac:dyDescent="0.25">
      <c r="A1640" t="s">
        <v>1644</v>
      </c>
      <c r="B1640">
        <v>1</v>
      </c>
      <c r="C1640">
        <v>1.0589501331485101</v>
      </c>
      <c r="D1640">
        <v>1.20935322657133</v>
      </c>
      <c r="E1640">
        <v>1.6047860504140401</v>
      </c>
      <c r="F1640">
        <v>1.45040674132711</v>
      </c>
      <c r="G1640">
        <v>1.5250063838324901</v>
      </c>
      <c r="H1640">
        <v>0.78725422244920296</v>
      </c>
      <c r="I1640">
        <v>1.35114726589574</v>
      </c>
      <c r="J1640">
        <v>1.2253310473133201</v>
      </c>
      <c r="K1640">
        <v>1.1470105424433701</v>
      </c>
      <c r="L1640">
        <v>2107.83045864631</v>
      </c>
      <c r="M1640">
        <v>47.2126724693344</v>
      </c>
      <c r="O1640">
        <v>44.565558401001603</v>
      </c>
      <c r="P1640">
        <v>7.8378459227094396E-2</v>
      </c>
      <c r="Q1640">
        <v>1.29593548446304</v>
      </c>
      <c r="R1640">
        <v>0.19585479273180001</v>
      </c>
      <c r="S1640" t="s">
        <v>3514</v>
      </c>
      <c r="T1640" t="s">
        <v>3746</v>
      </c>
      <c r="U1640" t="s">
        <v>3746</v>
      </c>
      <c r="V1640" t="s">
        <v>3746</v>
      </c>
      <c r="W1640" t="s">
        <v>5374</v>
      </c>
      <c r="X1640">
        <v>1</v>
      </c>
      <c r="Y1640" t="s">
        <v>7160</v>
      </c>
      <c r="Z1640" t="s">
        <v>9028</v>
      </c>
      <c r="AA1640">
        <v>1.249426453927253</v>
      </c>
      <c r="AB1640" t="str">
        <f>HYPERLINK("Melting_Curves/meltCurve_Q92882_OSTF1.pdf", "Melting_Curves/meltCurve_Q92882_OSTF1.pdf")</f>
        <v>Melting_Curves/meltCurve_Q92882_OSTF1.pdf</v>
      </c>
    </row>
    <row r="1641" spans="1:28" x14ac:dyDescent="0.25">
      <c r="A1641" t="s">
        <v>1645</v>
      </c>
      <c r="B1641">
        <v>1</v>
      </c>
      <c r="C1641">
        <v>1.0631310466138999</v>
      </c>
      <c r="D1641">
        <v>1.23569041336851</v>
      </c>
      <c r="E1641">
        <v>1.5480914687774801</v>
      </c>
      <c r="F1641">
        <v>1.0638346525945499</v>
      </c>
      <c r="G1641">
        <v>1.1808970976253299</v>
      </c>
      <c r="H1641">
        <v>0.66392260334212805</v>
      </c>
      <c r="I1641">
        <v>1.0759894459102901</v>
      </c>
      <c r="J1641">
        <v>1.18091468777485</v>
      </c>
      <c r="K1641">
        <v>1.02327176781003</v>
      </c>
      <c r="L1641">
        <v>15000</v>
      </c>
      <c r="M1641">
        <v>235.44063892562099</v>
      </c>
      <c r="O1641">
        <v>63.705733849205899</v>
      </c>
      <c r="P1641">
        <v>9.43394810266244E-2</v>
      </c>
      <c r="Q1641">
        <v>1.10210583025269</v>
      </c>
      <c r="R1641">
        <v>-0.18270914209739</v>
      </c>
      <c r="S1641" t="s">
        <v>3515</v>
      </c>
      <c r="T1641" t="s">
        <v>3746</v>
      </c>
      <c r="U1641" t="s">
        <v>3746</v>
      </c>
      <c r="V1641" t="s">
        <v>3746</v>
      </c>
      <c r="W1641" t="s">
        <v>5375</v>
      </c>
      <c r="X1641">
        <v>11</v>
      </c>
      <c r="Y1641" t="s">
        <v>7161</v>
      </c>
      <c r="Z1641" t="s">
        <v>9029</v>
      </c>
      <c r="AA1641">
        <v>1.0213942049927871</v>
      </c>
      <c r="AB1641" t="str">
        <f>HYPERLINK("Melting_Curves/meltCurve_Q92896_GLG1.pdf", "Melting_Curves/meltCurve_Q92896_GLG1.pdf")</f>
        <v>Melting_Curves/meltCurve_Q92896_GLG1.pdf</v>
      </c>
    </row>
    <row r="1642" spans="1:28" x14ac:dyDescent="0.25">
      <c r="A1642" t="s">
        <v>1646</v>
      </c>
      <c r="B1642">
        <v>1</v>
      </c>
      <c r="C1642">
        <v>0.99891249972812501</v>
      </c>
      <c r="D1642">
        <v>1.4071601017900299</v>
      </c>
      <c r="E1642">
        <v>2.0652717663179398</v>
      </c>
      <c r="F1642">
        <v>1.93642473410618</v>
      </c>
      <c r="G1642">
        <v>2.26047806511952</v>
      </c>
      <c r="H1642">
        <v>1.58435739608935</v>
      </c>
      <c r="I1642">
        <v>2.3418230854557698</v>
      </c>
      <c r="J1642">
        <v>2.6595906648976699</v>
      </c>
      <c r="K1642">
        <v>2.2635230658807699</v>
      </c>
      <c r="L1642">
        <v>11431.99681954</v>
      </c>
      <c r="M1642">
        <v>250</v>
      </c>
      <c r="O1642">
        <v>45.725061005086197</v>
      </c>
      <c r="P1642">
        <v>0.68343265946154397</v>
      </c>
      <c r="Q1642">
        <v>1.5</v>
      </c>
      <c r="R1642">
        <v>-0.242201378679337</v>
      </c>
      <c r="S1642" t="s">
        <v>3516</v>
      </c>
      <c r="T1642" t="s">
        <v>3746</v>
      </c>
      <c r="U1642" t="s">
        <v>3746</v>
      </c>
      <c r="V1642" t="s">
        <v>3746</v>
      </c>
      <c r="W1642" t="s">
        <v>5376</v>
      </c>
      <c r="X1642">
        <v>4</v>
      </c>
      <c r="Y1642" t="s">
        <v>7162</v>
      </c>
      <c r="Z1642" t="s">
        <v>9030</v>
      </c>
      <c r="AA1642">
        <v>1.4044934194110039</v>
      </c>
      <c r="AB1642" t="str">
        <f>HYPERLINK("Melting_Curves/meltCurve_Q93099_HGD.pdf", "Melting_Curves/meltCurve_Q93099_HGD.pdf")</f>
        <v>Melting_Curves/meltCurve_Q93099_HGD.pdf</v>
      </c>
    </row>
    <row r="1643" spans="1:28" x14ac:dyDescent="0.25">
      <c r="A1643" t="s">
        <v>1647</v>
      </c>
      <c r="B1643">
        <v>1</v>
      </c>
      <c r="C1643">
        <v>0.97688425550725699</v>
      </c>
      <c r="D1643">
        <v>1.1192256686067901</v>
      </c>
      <c r="E1643">
        <v>1.30560671922198</v>
      </c>
      <c r="F1643">
        <v>1.0682236793634401</v>
      </c>
      <c r="G1643">
        <v>1.1231304796286701</v>
      </c>
      <c r="H1643">
        <v>0.663670522360569</v>
      </c>
      <c r="I1643">
        <v>1.0207028659839401</v>
      </c>
      <c r="J1643">
        <v>1.00403374346128</v>
      </c>
      <c r="K1643">
        <v>0.85428792455610403</v>
      </c>
      <c r="L1643">
        <v>2304.63967968919</v>
      </c>
      <c r="M1643">
        <v>39.370343153879801</v>
      </c>
      <c r="O1643">
        <v>58.387042366909398</v>
      </c>
      <c r="P1643">
        <v>-1.68537597296178E-2</v>
      </c>
      <c r="Q1643">
        <v>0.900022313275053</v>
      </c>
      <c r="R1643">
        <v>0.134005011781241</v>
      </c>
      <c r="S1643" t="s">
        <v>3517</v>
      </c>
      <c r="T1643" t="s">
        <v>3746</v>
      </c>
      <c r="U1643" t="s">
        <v>3746</v>
      </c>
      <c r="V1643" t="s">
        <v>3746</v>
      </c>
      <c r="W1643" t="s">
        <v>5377</v>
      </c>
      <c r="X1643">
        <v>11</v>
      </c>
      <c r="Y1643" t="s">
        <v>5641</v>
      </c>
      <c r="Z1643" t="s">
        <v>9031</v>
      </c>
      <c r="AA1643">
        <v>0.96220588456385336</v>
      </c>
      <c r="AB1643" t="str">
        <f>HYPERLINK("Melting_Curves/meltCurve_Q95604_HLA_C.pdf", "Melting_Curves/meltCurve_Q95604_HLA_C.pdf")</f>
        <v>Melting_Curves/meltCurve_Q95604_HLA_C.pdf</v>
      </c>
    </row>
    <row r="1644" spans="1:28" x14ac:dyDescent="0.25">
      <c r="A1644" t="s">
        <v>1648</v>
      </c>
      <c r="B1644">
        <v>1</v>
      </c>
      <c r="C1644">
        <v>1.0034914950761</v>
      </c>
      <c r="D1644">
        <v>1.5254252461951701</v>
      </c>
      <c r="E1644">
        <v>2.10259623992838</v>
      </c>
      <c r="F1644">
        <v>1.7087735004476301</v>
      </c>
      <c r="G1644">
        <v>1.93106535362578</v>
      </c>
      <c r="H1644">
        <v>1.3376007162041199</v>
      </c>
      <c r="I1644">
        <v>1.8515666965085</v>
      </c>
      <c r="J1644">
        <v>1.98692927484333</v>
      </c>
      <c r="K1644">
        <v>1.7518352730528199</v>
      </c>
      <c r="L1644">
        <v>10937.4616067835</v>
      </c>
      <c r="M1644">
        <v>250</v>
      </c>
      <c r="O1644">
        <v>43.747047024534503</v>
      </c>
      <c r="P1644">
        <v>0.71433393507714404</v>
      </c>
      <c r="Q1644">
        <v>1.5</v>
      </c>
      <c r="R1644">
        <v>0.252580089783013</v>
      </c>
      <c r="S1644" t="s">
        <v>3518</v>
      </c>
      <c r="T1644" t="s">
        <v>3746</v>
      </c>
      <c r="U1644" t="s">
        <v>3746</v>
      </c>
      <c r="V1644" t="s">
        <v>3746</v>
      </c>
      <c r="W1644" t="s">
        <v>5378</v>
      </c>
      <c r="X1644">
        <v>8</v>
      </c>
      <c r="Y1644" t="s">
        <v>7163</v>
      </c>
      <c r="Z1644" t="s">
        <v>9032</v>
      </c>
      <c r="AA1644">
        <v>1.437464169401121</v>
      </c>
      <c r="AB1644" t="str">
        <f>HYPERLINK("Melting_Curves/meltCurve_Q969P0_3_IGSF8.pdf", "Melting_Curves/meltCurve_Q969P0_3_IGSF8.pdf")</f>
        <v>Melting_Curves/meltCurve_Q969P0_3_IGSF8.pdf</v>
      </c>
    </row>
    <row r="1645" spans="1:28" x14ac:dyDescent="0.25">
      <c r="A1645" t="s">
        <v>1649</v>
      </c>
      <c r="B1645">
        <v>1</v>
      </c>
      <c r="C1645">
        <v>1.23456888960051</v>
      </c>
      <c r="D1645">
        <v>1.5606116403810699</v>
      </c>
      <c r="E1645">
        <v>1.5099831878952801</v>
      </c>
      <c r="F1645">
        <v>1.4255063645824999</v>
      </c>
      <c r="G1645">
        <v>1.6019534064526499</v>
      </c>
      <c r="H1645">
        <v>0.49725402289648601</v>
      </c>
      <c r="I1645">
        <v>0.99047314066127601</v>
      </c>
      <c r="J1645">
        <v>1.07392522616284</v>
      </c>
      <c r="K1645">
        <v>0.98671043151068805</v>
      </c>
      <c r="L1645">
        <v>10260.037591181899</v>
      </c>
      <c r="M1645">
        <v>250</v>
      </c>
      <c r="O1645">
        <v>41.037515780487098</v>
      </c>
      <c r="P1645">
        <v>0.31830445375848998</v>
      </c>
      <c r="Q1645">
        <v>1.2089988267980301</v>
      </c>
      <c r="R1645">
        <v>3.6485513303672397E-2</v>
      </c>
      <c r="S1645" t="s">
        <v>3519</v>
      </c>
      <c r="T1645" t="s">
        <v>3746</v>
      </c>
      <c r="U1645" t="s">
        <v>3746</v>
      </c>
      <c r="V1645" t="s">
        <v>3746</v>
      </c>
      <c r="W1645" t="s">
        <v>5379</v>
      </c>
      <c r="X1645">
        <v>1</v>
      </c>
      <c r="Y1645" t="s">
        <v>7164</v>
      </c>
      <c r="Z1645" t="s">
        <v>9033</v>
      </c>
      <c r="AA1645">
        <v>1.2017358154767439</v>
      </c>
      <c r="AB1645" t="str">
        <f>HYPERLINK("Melting_Curves/meltCurve_Q96A44_SPSB4.pdf", "Melting_Curves/meltCurve_Q96A44_SPSB4.pdf")</f>
        <v>Melting_Curves/meltCurve_Q96A44_SPSB4.pdf</v>
      </c>
    </row>
    <row r="1646" spans="1:28" x14ac:dyDescent="0.25">
      <c r="A1646" t="s">
        <v>1650</v>
      </c>
      <c r="B1646">
        <v>1</v>
      </c>
      <c r="C1646">
        <v>1.07589910808478</v>
      </c>
      <c r="D1646">
        <v>1.1026565646878299</v>
      </c>
      <c r="E1646">
        <v>1.3282056200249399</v>
      </c>
      <c r="F1646">
        <v>1.00763402704517</v>
      </c>
      <c r="G1646">
        <v>1.29745852114702</v>
      </c>
      <c r="H1646">
        <v>0.67478661168121201</v>
      </c>
      <c r="I1646">
        <v>1.1446820753812199</v>
      </c>
      <c r="J1646">
        <v>1.2611489402512699</v>
      </c>
      <c r="K1646">
        <v>1.09337297400978</v>
      </c>
      <c r="L1646">
        <v>2718.16479309324</v>
      </c>
      <c r="M1646">
        <v>64.034630820758906</v>
      </c>
      <c r="O1646">
        <v>42.407033120919898</v>
      </c>
      <c r="P1646">
        <v>4.2991603139818202E-2</v>
      </c>
      <c r="Q1646">
        <v>1.1138849358033101</v>
      </c>
      <c r="R1646">
        <v>3.7873390202860603E-2</v>
      </c>
      <c r="S1646" t="s">
        <v>3520</v>
      </c>
      <c r="T1646" t="s">
        <v>3746</v>
      </c>
      <c r="U1646" t="s">
        <v>3746</v>
      </c>
      <c r="V1646" t="s">
        <v>3746</v>
      </c>
      <c r="W1646" t="s">
        <v>5380</v>
      </c>
      <c r="X1646">
        <v>2</v>
      </c>
      <c r="Y1646" t="s">
        <v>7165</v>
      </c>
      <c r="Z1646" t="s">
        <v>9034</v>
      </c>
      <c r="AA1646">
        <v>1.1044181692303809</v>
      </c>
      <c r="AB1646" t="str">
        <f>HYPERLINK("Melting_Curves/meltCurve_Q96AG4_LRRC59.pdf", "Melting_Curves/meltCurve_Q96AG4_LRRC59.pdf")</f>
        <v>Melting_Curves/meltCurve_Q96AG4_LRRC59.pdf</v>
      </c>
    </row>
    <row r="1647" spans="1:28" x14ac:dyDescent="0.25">
      <c r="A1647" t="s">
        <v>1651</v>
      </c>
      <c r="B1647">
        <v>1</v>
      </c>
      <c r="C1647">
        <v>1.0091836924392601</v>
      </c>
      <c r="D1647">
        <v>1.1042553587031301</v>
      </c>
      <c r="E1647">
        <v>1.41819263445558</v>
      </c>
      <c r="F1647">
        <v>0.94993586287668896</v>
      </c>
      <c r="G1647">
        <v>1.2419549738803899</v>
      </c>
      <c r="H1647">
        <v>0.56552211336468905</v>
      </c>
      <c r="I1647">
        <v>0.94036177055641301</v>
      </c>
      <c r="J1647">
        <v>0.97176107527281497</v>
      </c>
      <c r="K1647">
        <v>0.90031789704597398</v>
      </c>
      <c r="L1647">
        <v>2332.38935369202</v>
      </c>
      <c r="M1647">
        <v>39.611459688725603</v>
      </c>
      <c r="O1647">
        <v>58.732211128961403</v>
      </c>
      <c r="P1647">
        <v>-2.25851077434483E-2</v>
      </c>
      <c r="Q1647">
        <v>0.86605185006360097</v>
      </c>
      <c r="R1647">
        <v>0.141103554816806</v>
      </c>
      <c r="S1647" t="s">
        <v>3521</v>
      </c>
      <c r="T1647" t="s">
        <v>3746</v>
      </c>
      <c r="U1647" t="s">
        <v>3746</v>
      </c>
      <c r="V1647" t="s">
        <v>3746</v>
      </c>
      <c r="W1647" t="s">
        <v>5381</v>
      </c>
      <c r="X1647">
        <v>1</v>
      </c>
      <c r="Y1647" t="s">
        <v>7166</v>
      </c>
      <c r="Z1647" t="s">
        <v>9035</v>
      </c>
      <c r="AA1647">
        <v>0.95089507444378041</v>
      </c>
      <c r="AB1647" t="str">
        <f>HYPERLINK("Melting_Curves/meltCurve_Q96BA8_2_CREB3L1.pdf", "Melting_Curves/meltCurve_Q96BA8_2_CREB3L1.pdf")</f>
        <v>Melting_Curves/meltCurve_Q96BA8_2_CREB3L1.pdf</v>
      </c>
    </row>
    <row r="1648" spans="1:28" x14ac:dyDescent="0.25">
      <c r="A1648" t="s">
        <v>1652</v>
      </c>
      <c r="B1648">
        <v>1</v>
      </c>
      <c r="C1648">
        <v>1.1443110546769799</v>
      </c>
      <c r="D1648">
        <v>1.5535034052868499</v>
      </c>
      <c r="E1648">
        <v>1.2731155488860699</v>
      </c>
      <c r="F1648">
        <v>0.85297625918657904</v>
      </c>
      <c r="G1648">
        <v>0.61751125476163005</v>
      </c>
      <c r="H1648">
        <v>0.52318288506675903</v>
      </c>
      <c r="I1648">
        <v>1.30049251606449</v>
      </c>
      <c r="J1648">
        <v>0.89035745892493001</v>
      </c>
      <c r="K1648">
        <v>1.35262995882874</v>
      </c>
      <c r="L1648">
        <v>15000</v>
      </c>
      <c r="M1648">
        <v>215.15736098574999</v>
      </c>
      <c r="O1648">
        <v>69.710381374028103</v>
      </c>
      <c r="P1648">
        <v>0.38580574881233998</v>
      </c>
      <c r="Q1648">
        <v>1.5</v>
      </c>
      <c r="R1648">
        <v>9.8722535127214697E-2</v>
      </c>
      <c r="S1648" t="s">
        <v>3522</v>
      </c>
      <c r="T1648" t="s">
        <v>3746</v>
      </c>
      <c r="U1648" t="s">
        <v>3746</v>
      </c>
      <c r="V1648" t="s">
        <v>3746</v>
      </c>
      <c r="W1648" t="s">
        <v>5382</v>
      </c>
      <c r="X1648">
        <v>2</v>
      </c>
      <c r="Y1648" t="s">
        <v>7167</v>
      </c>
      <c r="Z1648" t="s">
        <v>9036</v>
      </c>
      <c r="AA1648">
        <v>1.006565928403371</v>
      </c>
      <c r="AB1648" t="str">
        <f>HYPERLINK("Melting_Curves/meltCurve_Q96C19_EFHD2.pdf", "Melting_Curves/meltCurve_Q96C19_EFHD2.pdf")</f>
        <v>Melting_Curves/meltCurve_Q96C19_EFHD2.pdf</v>
      </c>
    </row>
    <row r="1649" spans="1:28" x14ac:dyDescent="0.25">
      <c r="A1649" t="s">
        <v>1653</v>
      </c>
      <c r="B1649">
        <v>1</v>
      </c>
      <c r="C1649">
        <v>0.846654851572884</v>
      </c>
      <c r="D1649">
        <v>1.09198050509526</v>
      </c>
      <c r="E1649">
        <v>1.2871510855117401</v>
      </c>
      <c r="F1649">
        <v>1.05702259636686</v>
      </c>
      <c r="G1649">
        <v>1.2494461674789501</v>
      </c>
      <c r="H1649">
        <v>0.52286220646876402</v>
      </c>
      <c r="I1649">
        <v>0.88329641116526403</v>
      </c>
      <c r="J1649">
        <v>0.798139122729287</v>
      </c>
      <c r="K1649">
        <v>0.86535223748338497</v>
      </c>
      <c r="L1649">
        <v>2962.0108038395701</v>
      </c>
      <c r="M1649">
        <v>50.233345276862899</v>
      </c>
      <c r="O1649">
        <v>58.8718084980082</v>
      </c>
      <c r="P1649">
        <v>-4.7055800691938501E-2</v>
      </c>
      <c r="Q1649">
        <v>0.77940885617633004</v>
      </c>
      <c r="R1649">
        <v>0.35336882943168102</v>
      </c>
      <c r="S1649" t="s">
        <v>3523</v>
      </c>
      <c r="T1649" t="s">
        <v>3746</v>
      </c>
      <c r="U1649" t="s">
        <v>3746</v>
      </c>
      <c r="V1649" t="s">
        <v>3746</v>
      </c>
      <c r="W1649" t="s">
        <v>5383</v>
      </c>
      <c r="X1649">
        <v>4</v>
      </c>
      <c r="Y1649" t="s">
        <v>7168</v>
      </c>
      <c r="Z1649" t="s">
        <v>9037</v>
      </c>
      <c r="AA1649">
        <v>0.91942321246095371</v>
      </c>
      <c r="AB1649" t="str">
        <f>HYPERLINK("Melting_Curves/meltCurve_Q96CF2_CHMP4C.pdf", "Melting_Curves/meltCurve_Q96CF2_CHMP4C.pdf")</f>
        <v>Melting_Curves/meltCurve_Q96CF2_CHMP4C.pdf</v>
      </c>
    </row>
    <row r="1650" spans="1:28" x14ac:dyDescent="0.25">
      <c r="A1650" t="s">
        <v>1654</v>
      </c>
      <c r="B1650">
        <v>1</v>
      </c>
      <c r="C1650">
        <v>0.99048436159425901</v>
      </c>
      <c r="D1650">
        <v>1.66476873878793</v>
      </c>
      <c r="E1650">
        <v>2.3052024023087099</v>
      </c>
      <c r="F1650">
        <v>2.1637157788004102</v>
      </c>
      <c r="G1650">
        <v>3.29202090320568</v>
      </c>
      <c r="H1650">
        <v>1.8214647843381999</v>
      </c>
      <c r="I1650">
        <v>3.1129397082910799</v>
      </c>
      <c r="J1650">
        <v>2.9138912721316599</v>
      </c>
      <c r="K1650">
        <v>2.834490289369</v>
      </c>
      <c r="L1650">
        <v>11037.9155969434</v>
      </c>
      <c r="M1650">
        <v>250</v>
      </c>
      <c r="O1650">
        <v>44.148836605873498</v>
      </c>
      <c r="P1650">
        <v>0.70783291652354996</v>
      </c>
      <c r="Q1650">
        <v>1.5</v>
      </c>
      <c r="R1650">
        <v>-0.72108318325010901</v>
      </c>
      <c r="S1650" t="s">
        <v>3524</v>
      </c>
      <c r="T1650" t="s">
        <v>3746</v>
      </c>
      <c r="U1650" t="s">
        <v>3746</v>
      </c>
      <c r="V1650" t="s">
        <v>3746</v>
      </c>
      <c r="W1650" t="s">
        <v>5384</v>
      </c>
      <c r="X1650">
        <v>3</v>
      </c>
      <c r="Y1650" t="s">
        <v>7169</v>
      </c>
      <c r="Z1650" t="s">
        <v>9038</v>
      </c>
      <c r="AA1650">
        <v>1.430766884130251</v>
      </c>
      <c r="AB1650" t="str">
        <f>HYPERLINK("Melting_Curves/meltCurve_Q96CN7_ISOC1.pdf", "Melting_Curves/meltCurve_Q96CN7_ISOC1.pdf")</f>
        <v>Melting_Curves/meltCurve_Q96CN7_ISOC1.pdf</v>
      </c>
    </row>
    <row r="1651" spans="1:28" x14ac:dyDescent="0.25">
      <c r="A1651" t="s">
        <v>1655</v>
      </c>
      <c r="B1651">
        <v>1</v>
      </c>
      <c r="C1651">
        <v>1.01866912178405</v>
      </c>
      <c r="D1651">
        <v>1.2960973863229499</v>
      </c>
      <c r="E1651">
        <v>1.6116822668917199</v>
      </c>
      <c r="F1651">
        <v>1.1222443864764</v>
      </c>
      <c r="G1651">
        <v>1.1798373484732201</v>
      </c>
      <c r="H1651">
        <v>0.68426167459465004</v>
      </c>
      <c r="I1651">
        <v>1.11544166538796</v>
      </c>
      <c r="J1651">
        <v>1.1795304588000599</v>
      </c>
      <c r="K1651">
        <v>1.02767121886349</v>
      </c>
      <c r="L1651">
        <v>10809.369635102899</v>
      </c>
      <c r="M1651">
        <v>250</v>
      </c>
      <c r="O1651">
        <v>43.234724660067997</v>
      </c>
      <c r="P1651">
        <v>0.219869332946489</v>
      </c>
      <c r="Q1651">
        <v>1.15209579533191</v>
      </c>
      <c r="R1651">
        <v>6.51957785665781E-2</v>
      </c>
      <c r="S1651" t="s">
        <v>3525</v>
      </c>
      <c r="T1651" t="s">
        <v>3746</v>
      </c>
      <c r="U1651" t="s">
        <v>3746</v>
      </c>
      <c r="V1651" t="s">
        <v>3746</v>
      </c>
      <c r="W1651" t="s">
        <v>5385</v>
      </c>
      <c r="X1651">
        <v>3</v>
      </c>
      <c r="Y1651" t="s">
        <v>7170</v>
      </c>
      <c r="Z1651" t="s">
        <v>9039</v>
      </c>
      <c r="AA1651">
        <v>1.135670691685019</v>
      </c>
      <c r="AB1651" t="str">
        <f>HYPERLINK("Melting_Curves/meltCurve_Q96DA0_ZG16B.pdf", "Melting_Curves/meltCurve_Q96DA0_ZG16B.pdf")</f>
        <v>Melting_Curves/meltCurve_Q96DA0_ZG16B.pdf</v>
      </c>
    </row>
    <row r="1652" spans="1:28" x14ac:dyDescent="0.25">
      <c r="A1652" t="s">
        <v>1656</v>
      </c>
      <c r="B1652">
        <v>1</v>
      </c>
      <c r="C1652">
        <v>1.31568501383725</v>
      </c>
      <c r="D1652">
        <v>2.4256003130852899</v>
      </c>
      <c r="E1652">
        <v>2.9729125317977201</v>
      </c>
      <c r="F1652">
        <v>1.9515835965672399</v>
      </c>
      <c r="G1652">
        <v>1.7715595560897901</v>
      </c>
      <c r="H1652">
        <v>1.8816425795991401</v>
      </c>
      <c r="I1652">
        <v>1.88952561988092</v>
      </c>
      <c r="J1652">
        <v>1.9916976490649401</v>
      </c>
      <c r="K1652">
        <v>2.2012411595337298</v>
      </c>
      <c r="L1652">
        <v>10701.9155237135</v>
      </c>
      <c r="M1652">
        <v>250</v>
      </c>
      <c r="O1652">
        <v>42.804922967018797</v>
      </c>
      <c r="P1652">
        <v>0.73005621956341005</v>
      </c>
      <c r="Q1652">
        <v>1.5</v>
      </c>
      <c r="R1652">
        <v>-0.61656706238452796</v>
      </c>
      <c r="S1652" t="s">
        <v>3526</v>
      </c>
      <c r="T1652" t="s">
        <v>3746</v>
      </c>
      <c r="U1652" t="s">
        <v>3746</v>
      </c>
      <c r="V1652" t="s">
        <v>3746</v>
      </c>
      <c r="W1652" t="s">
        <v>5386</v>
      </c>
      <c r="X1652">
        <v>2</v>
      </c>
      <c r="Y1652" t="s">
        <v>7171</v>
      </c>
      <c r="Z1652" t="s">
        <v>9040</v>
      </c>
      <c r="AA1652">
        <v>1.45316806830286</v>
      </c>
      <c r="AB1652" t="str">
        <f>HYPERLINK("Melting_Curves/meltCurve_Q96DE0_3_NUDT16.pdf", "Melting_Curves/meltCurve_Q96DE0_3_NUDT16.pdf")</f>
        <v>Melting_Curves/meltCurve_Q96DE0_3_NUDT16.pdf</v>
      </c>
    </row>
    <row r="1653" spans="1:28" x14ac:dyDescent="0.25">
      <c r="A1653" t="s">
        <v>1657</v>
      </c>
      <c r="B1653">
        <v>1</v>
      </c>
      <c r="C1653">
        <v>1.0680777767502101</v>
      </c>
      <c r="D1653">
        <v>1.32040136872283</v>
      </c>
      <c r="E1653">
        <v>1.4384305928049601</v>
      </c>
      <c r="F1653">
        <v>0.70778229908443502</v>
      </c>
      <c r="G1653">
        <v>0.76953666882456295</v>
      </c>
      <c r="H1653">
        <v>0.52325904004439105</v>
      </c>
      <c r="I1653">
        <v>0.97001294737815602</v>
      </c>
      <c r="J1653">
        <v>0.96915749560714004</v>
      </c>
      <c r="K1653">
        <v>0.76303985942846597</v>
      </c>
      <c r="L1653">
        <v>4198.0241278128497</v>
      </c>
      <c r="M1653">
        <v>80.725830537256897</v>
      </c>
      <c r="O1653">
        <v>51.9715925300859</v>
      </c>
      <c r="P1653">
        <v>-8.4055262572270806E-2</v>
      </c>
      <c r="Q1653">
        <v>0.78353965397580405</v>
      </c>
      <c r="R1653">
        <v>0.34750351622346798</v>
      </c>
      <c r="S1653" t="s">
        <v>3527</v>
      </c>
      <c r="T1653" t="s">
        <v>3746</v>
      </c>
      <c r="U1653" t="s">
        <v>3746</v>
      </c>
      <c r="V1653" t="s">
        <v>3746</v>
      </c>
      <c r="W1653" t="s">
        <v>5387</v>
      </c>
      <c r="X1653">
        <v>1</v>
      </c>
      <c r="Y1653" t="s">
        <v>7172</v>
      </c>
      <c r="Z1653" t="s">
        <v>9041</v>
      </c>
      <c r="AA1653">
        <v>0.87033873408218931</v>
      </c>
      <c r="AB1653" t="str">
        <f>HYPERLINK("Melting_Curves/meltCurve_Q96DZ1_2_ERLEC1.pdf", "Melting_Curves/meltCurve_Q96DZ1_2_ERLEC1.pdf")</f>
        <v>Melting_Curves/meltCurve_Q96DZ1_2_ERLEC1.pdf</v>
      </c>
    </row>
    <row r="1654" spans="1:28" x14ac:dyDescent="0.25">
      <c r="A1654" t="s">
        <v>1658</v>
      </c>
      <c r="B1654">
        <v>1</v>
      </c>
      <c r="C1654">
        <v>1.0241462842853799</v>
      </c>
      <c r="D1654">
        <v>1.5435648980229699</v>
      </c>
      <c r="E1654">
        <v>2.0117214972259099</v>
      </c>
      <c r="F1654">
        <v>1.9685082441197199</v>
      </c>
      <c r="G1654">
        <v>1.9191216691412001</v>
      </c>
      <c r="H1654">
        <v>1.32015316089709</v>
      </c>
      <c r="I1654">
        <v>2.3880597014925402</v>
      </c>
      <c r="J1654">
        <v>2.69102133312495</v>
      </c>
      <c r="K1654">
        <v>2.50519653043682</v>
      </c>
      <c r="L1654">
        <v>10852.8827594667</v>
      </c>
      <c r="M1654">
        <v>250</v>
      </c>
      <c r="O1654">
        <v>43.4087530141515</v>
      </c>
      <c r="P1654">
        <v>0.71990089292349702</v>
      </c>
      <c r="Q1654">
        <v>1.5</v>
      </c>
      <c r="R1654">
        <v>-0.20324406143532001</v>
      </c>
      <c r="S1654" t="s">
        <v>3528</v>
      </c>
      <c r="T1654" t="s">
        <v>3746</v>
      </c>
      <c r="U1654" t="s">
        <v>3746</v>
      </c>
      <c r="V1654" t="s">
        <v>3746</v>
      </c>
      <c r="W1654" t="s">
        <v>5388</v>
      </c>
      <c r="X1654">
        <v>2</v>
      </c>
      <c r="Y1654" t="s">
        <v>7173</v>
      </c>
      <c r="Z1654" t="s">
        <v>9042</v>
      </c>
      <c r="AA1654">
        <v>1.44310305608689</v>
      </c>
      <c r="AB1654" t="str">
        <f>HYPERLINK("Melting_Curves/meltCurve_Q96EU7_C1GALT1C1.pdf", "Melting_Curves/meltCurve_Q96EU7_C1GALT1C1.pdf")</f>
        <v>Melting_Curves/meltCurve_Q96EU7_C1GALT1C1.pdf</v>
      </c>
    </row>
    <row r="1655" spans="1:28" x14ac:dyDescent="0.25">
      <c r="A1655" t="s">
        <v>1659</v>
      </c>
      <c r="B1655">
        <v>1</v>
      </c>
      <c r="C1655">
        <v>0.98196596757314702</v>
      </c>
      <c r="D1655">
        <v>1.2425993090299201</v>
      </c>
      <c r="E1655">
        <v>1.4592083948564301</v>
      </c>
      <c r="F1655">
        <v>0.84964949754146502</v>
      </c>
      <c r="G1655">
        <v>1.0795189013288999</v>
      </c>
      <c r="H1655">
        <v>0.63212294106684597</v>
      </c>
      <c r="I1655">
        <v>0.98060409707986296</v>
      </c>
      <c r="J1655">
        <v>0.97049758447180901</v>
      </c>
      <c r="K1655">
        <v>0.86220737703743</v>
      </c>
      <c r="L1655">
        <v>4198.5438140998303</v>
      </c>
      <c r="M1655">
        <v>71.777867461446405</v>
      </c>
      <c r="O1655">
        <v>58.448238337313498</v>
      </c>
      <c r="P1655">
        <v>-4.1231772054922899E-2</v>
      </c>
      <c r="Q1655">
        <v>0.86570105043603796</v>
      </c>
      <c r="R1655">
        <v>0.15466915967567299</v>
      </c>
      <c r="S1655" t="s">
        <v>3529</v>
      </c>
      <c r="T1655" t="s">
        <v>3746</v>
      </c>
      <c r="U1655" t="s">
        <v>3746</v>
      </c>
      <c r="V1655" t="s">
        <v>3746</v>
      </c>
      <c r="W1655" t="s">
        <v>5389</v>
      </c>
      <c r="X1655">
        <v>4</v>
      </c>
      <c r="Y1655" t="s">
        <v>7174</v>
      </c>
      <c r="Z1655" t="s">
        <v>9043</v>
      </c>
      <c r="AA1655">
        <v>0.94865757593603284</v>
      </c>
      <c r="AB1655" t="str">
        <f>HYPERLINK("Melting_Curves/meltCurve_Q96FE7_4_PIK3IP1.pdf", "Melting_Curves/meltCurve_Q96FE7_4_PIK3IP1.pdf")</f>
        <v>Melting_Curves/meltCurve_Q96FE7_4_PIK3IP1.pdf</v>
      </c>
    </row>
    <row r="1656" spans="1:28" x14ac:dyDescent="0.25">
      <c r="A1656" t="s">
        <v>1660</v>
      </c>
      <c r="B1656">
        <v>1</v>
      </c>
      <c r="C1656">
        <v>1.0330300320833099</v>
      </c>
      <c r="D1656">
        <v>1.40135696628623</v>
      </c>
      <c r="E1656">
        <v>1.7357597433335099</v>
      </c>
      <c r="F1656">
        <v>0.99883237784673595</v>
      </c>
      <c r="G1656">
        <v>1.18634618418976</v>
      </c>
      <c r="H1656">
        <v>0.76970493872613499</v>
      </c>
      <c r="I1656">
        <v>1.1576289906905799</v>
      </c>
      <c r="J1656">
        <v>1.09851154473255</v>
      </c>
      <c r="K1656">
        <v>1.04947141429548</v>
      </c>
      <c r="L1656">
        <v>10787.466003118599</v>
      </c>
      <c r="M1656">
        <v>250</v>
      </c>
      <c r="O1656">
        <v>43.147103680298898</v>
      </c>
      <c r="P1656">
        <v>0.25306089783691299</v>
      </c>
      <c r="Q1656">
        <v>1.17470151259966</v>
      </c>
      <c r="R1656">
        <v>6.5076503098527194E-2</v>
      </c>
      <c r="S1656" t="s">
        <v>3530</v>
      </c>
      <c r="T1656" t="s">
        <v>3746</v>
      </c>
      <c r="U1656" t="s">
        <v>3746</v>
      </c>
      <c r="V1656" t="s">
        <v>3746</v>
      </c>
      <c r="W1656" t="s">
        <v>5390</v>
      </c>
      <c r="X1656">
        <v>3</v>
      </c>
      <c r="Y1656" t="s">
        <v>7175</v>
      </c>
      <c r="Z1656" t="s">
        <v>9044</v>
      </c>
      <c r="AA1656">
        <v>1.15634541600102</v>
      </c>
      <c r="AB1656" t="str">
        <f>HYPERLINK("Melting_Curves/meltCurve_Q96FQ6_S100A16.pdf", "Melting_Curves/meltCurve_Q96FQ6_S100A16.pdf")</f>
        <v>Melting_Curves/meltCurve_Q96FQ6_S100A16.pdf</v>
      </c>
    </row>
    <row r="1657" spans="1:28" x14ac:dyDescent="0.25">
      <c r="A1657" t="s">
        <v>1661</v>
      </c>
      <c r="B1657">
        <v>1</v>
      </c>
      <c r="C1657">
        <v>1.1395164321209299</v>
      </c>
      <c r="D1657">
        <v>2.42226583705683</v>
      </c>
      <c r="E1657">
        <v>3.91765148035245</v>
      </c>
      <c r="F1657">
        <v>3.8413579989142699</v>
      </c>
      <c r="G1657">
        <v>3.9813337787614298</v>
      </c>
      <c r="H1657">
        <v>2.2205286674740101</v>
      </c>
      <c r="I1657">
        <v>3.29410782143901</v>
      </c>
      <c r="J1657">
        <v>3.43374953021255</v>
      </c>
      <c r="K1657">
        <v>3.2971979788699999</v>
      </c>
      <c r="L1657">
        <v>10765.7232121081</v>
      </c>
      <c r="M1657">
        <v>250</v>
      </c>
      <c r="O1657">
        <v>43.060137336251003</v>
      </c>
      <c r="P1657">
        <v>0.72572922741909096</v>
      </c>
      <c r="Q1657">
        <v>1.5</v>
      </c>
      <c r="R1657">
        <v>-1.6240011206734599</v>
      </c>
      <c r="S1657" t="s">
        <v>3531</v>
      </c>
      <c r="T1657" t="s">
        <v>3746</v>
      </c>
      <c r="U1657" t="s">
        <v>3746</v>
      </c>
      <c r="V1657" t="s">
        <v>3746</v>
      </c>
      <c r="W1657" t="s">
        <v>5391</v>
      </c>
      <c r="X1657">
        <v>9</v>
      </c>
      <c r="Y1657" t="s">
        <v>7176</v>
      </c>
      <c r="Z1657" t="s">
        <v>9045</v>
      </c>
      <c r="AA1657">
        <v>1.448913998494149</v>
      </c>
      <c r="AB1657" t="str">
        <f>HYPERLINK("Melting_Curves/meltCurve_Q96G03_PGM2.pdf", "Melting_Curves/meltCurve_Q96G03_PGM2.pdf")</f>
        <v>Melting_Curves/meltCurve_Q96G03_PGM2.pdf</v>
      </c>
    </row>
    <row r="1658" spans="1:28" x14ac:dyDescent="0.25">
      <c r="A1658" t="s">
        <v>1662</v>
      </c>
      <c r="B1658">
        <v>1</v>
      </c>
      <c r="C1658">
        <v>0.97808140371062902</v>
      </c>
      <c r="D1658">
        <v>1.18744426866101</v>
      </c>
      <c r="E1658">
        <v>1.4613835754350599</v>
      </c>
      <c r="F1658">
        <v>1.0332086868977399</v>
      </c>
      <c r="G1658">
        <v>1.15390478929958</v>
      </c>
      <c r="H1658">
        <v>0.60815475334388003</v>
      </c>
      <c r="I1658">
        <v>1.0219042140083401</v>
      </c>
      <c r="J1658">
        <v>1.00960736372789</v>
      </c>
      <c r="K1658">
        <v>0.87648497051632401</v>
      </c>
      <c r="L1658">
        <v>1493.4389132062499</v>
      </c>
      <c r="M1658">
        <v>25.467576088569398</v>
      </c>
      <c r="O1658">
        <v>58.282812895808199</v>
      </c>
      <c r="P1658">
        <v>-1.0409830394328801E-2</v>
      </c>
      <c r="Q1658">
        <v>0.90470915460372503</v>
      </c>
      <c r="R1658">
        <v>4.61165858359288E-2</v>
      </c>
      <c r="S1658" t="s">
        <v>3532</v>
      </c>
      <c r="T1658" t="s">
        <v>3746</v>
      </c>
      <c r="U1658" t="s">
        <v>3746</v>
      </c>
      <c r="V1658" t="s">
        <v>3746</v>
      </c>
      <c r="W1658" t="s">
        <v>5392</v>
      </c>
      <c r="X1658">
        <v>2</v>
      </c>
      <c r="Y1658" t="s">
        <v>7177</v>
      </c>
      <c r="Z1658" t="s">
        <v>9046</v>
      </c>
      <c r="AA1658">
        <v>0.96470087785260039</v>
      </c>
      <c r="AB1658" t="str">
        <f>HYPERLINK("Melting_Curves/meltCurve_Q96HD1_CRELD1.pdf", "Melting_Curves/meltCurve_Q96HD1_CRELD1.pdf")</f>
        <v>Melting_Curves/meltCurve_Q96HD1_CRELD1.pdf</v>
      </c>
    </row>
    <row r="1659" spans="1:28" x14ac:dyDescent="0.25">
      <c r="A1659" t="s">
        <v>1663</v>
      </c>
      <c r="B1659">
        <v>1</v>
      </c>
      <c r="C1659">
        <v>1.0056763117818099</v>
      </c>
      <c r="D1659">
        <v>1.4568046518067299</v>
      </c>
      <c r="E1659">
        <v>2.2316904333379499</v>
      </c>
      <c r="F1659">
        <v>2.12287138308182</v>
      </c>
      <c r="G1659">
        <v>2.2656098573999701</v>
      </c>
      <c r="H1659">
        <v>1.28699986155337</v>
      </c>
      <c r="I1659">
        <v>2.0640315658313702</v>
      </c>
      <c r="J1659">
        <v>2.1920254741797001</v>
      </c>
      <c r="K1659">
        <v>1.93049979233006</v>
      </c>
      <c r="L1659">
        <v>4877.3327545815901</v>
      </c>
      <c r="M1659">
        <v>108.397288732202</v>
      </c>
      <c r="O1659">
        <v>44.9796587875637</v>
      </c>
      <c r="P1659">
        <v>0.30123974368045298</v>
      </c>
      <c r="Q1659">
        <v>1.5</v>
      </c>
      <c r="R1659">
        <v>-6.6059417467698903E-2</v>
      </c>
      <c r="S1659" t="s">
        <v>3533</v>
      </c>
      <c r="T1659" t="s">
        <v>3746</v>
      </c>
      <c r="U1659" t="s">
        <v>3746</v>
      </c>
      <c r="V1659" t="s">
        <v>3746</v>
      </c>
      <c r="W1659" t="s">
        <v>5393</v>
      </c>
      <c r="X1659">
        <v>4</v>
      </c>
      <c r="Y1659" t="s">
        <v>7178</v>
      </c>
      <c r="Z1659" t="s">
        <v>9047</v>
      </c>
      <c r="AA1659">
        <v>1.416540276705837</v>
      </c>
      <c r="AB1659" t="str">
        <f>HYPERLINK("Melting_Curves/meltCurve_Q96HE7_ERO1L.pdf", "Melting_Curves/meltCurve_Q96HE7_ERO1L.pdf")</f>
        <v>Melting_Curves/meltCurve_Q96HE7_ERO1L.pdf</v>
      </c>
    </row>
    <row r="1660" spans="1:28" x14ac:dyDescent="0.25">
      <c r="A1660" t="s">
        <v>1664</v>
      </c>
      <c r="B1660">
        <v>1</v>
      </c>
      <c r="C1660">
        <v>1.3145729587522299</v>
      </c>
      <c r="D1660">
        <v>1.1673400357042201</v>
      </c>
      <c r="E1660">
        <v>1.5705158320022501</v>
      </c>
      <c r="F1660">
        <v>0.81446960443483996</v>
      </c>
      <c r="G1660">
        <v>1.2509630743211499</v>
      </c>
      <c r="H1660">
        <v>0.83477402987879401</v>
      </c>
      <c r="I1660">
        <v>1.07789157192521</v>
      </c>
      <c r="J1660">
        <v>0.90704688527670796</v>
      </c>
      <c r="K1660">
        <v>0.87182185474020502</v>
      </c>
      <c r="L1660">
        <v>15000</v>
      </c>
      <c r="M1660">
        <v>224.84930181589701</v>
      </c>
      <c r="O1660">
        <v>66.706074760145</v>
      </c>
      <c r="P1660">
        <v>-0.108029438740939</v>
      </c>
      <c r="Q1660">
        <v>0.87180357180669699</v>
      </c>
      <c r="R1660">
        <v>-7.4512749191939107E-2</v>
      </c>
      <c r="S1660" t="s">
        <v>3534</v>
      </c>
      <c r="T1660" t="s">
        <v>3746</v>
      </c>
      <c r="U1660" t="s">
        <v>3746</v>
      </c>
      <c r="V1660" t="s">
        <v>3746</v>
      </c>
      <c r="W1660" t="s">
        <v>5394</v>
      </c>
      <c r="X1660">
        <v>1</v>
      </c>
      <c r="Y1660" t="s">
        <v>7179</v>
      </c>
      <c r="Z1660" t="s">
        <v>9048</v>
      </c>
      <c r="AA1660">
        <v>0.98596540384776177</v>
      </c>
      <c r="AB1660" t="str">
        <f>HYPERLINK("Melting_Curves/meltCurve_Q96HY6_2_DDRGK1.pdf", "Melting_Curves/meltCurve_Q96HY6_2_DDRGK1.pdf")</f>
        <v>Melting_Curves/meltCurve_Q96HY6_2_DDRGK1.pdf</v>
      </c>
    </row>
    <row r="1661" spans="1:28" x14ac:dyDescent="0.25">
      <c r="A1661" t="s">
        <v>1665</v>
      </c>
      <c r="B1661">
        <v>1</v>
      </c>
      <c r="C1661">
        <v>0.91027603015360203</v>
      </c>
      <c r="D1661">
        <v>1.13994218670294</v>
      </c>
      <c r="E1661">
        <v>1.63481267358159</v>
      </c>
      <c r="F1661">
        <v>1.47775321657315</v>
      </c>
      <c r="G1661">
        <v>1.4966842373746001</v>
      </c>
      <c r="H1661">
        <v>1.1753953409284099</v>
      </c>
      <c r="I1661">
        <v>2.5487445445785899</v>
      </c>
      <c r="J1661">
        <v>2.7465000283398502</v>
      </c>
      <c r="K1661">
        <v>2.8293940939749498</v>
      </c>
      <c r="L1661">
        <v>11543.471620119</v>
      </c>
      <c r="M1661">
        <v>250</v>
      </c>
      <c r="O1661">
        <v>46.170920799018397</v>
      </c>
      <c r="P1661">
        <v>0.67683277957319798</v>
      </c>
      <c r="Q1661">
        <v>1.5</v>
      </c>
      <c r="R1661">
        <v>6.8611319432381399E-2</v>
      </c>
      <c r="S1661" t="s">
        <v>3535</v>
      </c>
      <c r="T1661" t="s">
        <v>3746</v>
      </c>
      <c r="U1661" t="s">
        <v>3746</v>
      </c>
      <c r="V1661" t="s">
        <v>3746</v>
      </c>
      <c r="W1661" t="s">
        <v>5395</v>
      </c>
      <c r="X1661">
        <v>3</v>
      </c>
      <c r="Y1661" t="s">
        <v>7180</v>
      </c>
      <c r="Z1661" t="s">
        <v>9049</v>
      </c>
      <c r="AA1661">
        <v>1.3970613747659919</v>
      </c>
      <c r="AB1661" t="str">
        <f>HYPERLINK("Melting_Curves/meltCurve_Q96IJ6_GMPPA.pdf", "Melting_Curves/meltCurve_Q96IJ6_GMPPA.pdf")</f>
        <v>Melting_Curves/meltCurve_Q96IJ6_GMPPA.pdf</v>
      </c>
    </row>
    <row r="1662" spans="1:28" x14ac:dyDescent="0.25">
      <c r="A1662" t="s">
        <v>1666</v>
      </c>
      <c r="B1662">
        <v>1</v>
      </c>
      <c r="C1662">
        <v>1.10685726804688</v>
      </c>
      <c r="D1662">
        <v>1.32224230474313</v>
      </c>
      <c r="E1662">
        <v>1.63372220396539</v>
      </c>
      <c r="F1662">
        <v>1.25728447803702</v>
      </c>
      <c r="G1662">
        <v>1.79400810603571</v>
      </c>
      <c r="H1662">
        <v>1.3873096724723399</v>
      </c>
      <c r="I1662">
        <v>2.4544857048964799</v>
      </c>
      <c r="J1662">
        <v>2.3598970314382699</v>
      </c>
      <c r="K1662">
        <v>2.18118085222916</v>
      </c>
      <c r="L1662">
        <v>1555.5209890697399</v>
      </c>
      <c r="M1662">
        <v>34.671984241341796</v>
      </c>
      <c r="O1662">
        <v>44.715470698209799</v>
      </c>
      <c r="P1662">
        <v>9.6924284596646301E-2</v>
      </c>
      <c r="Q1662">
        <v>1.5</v>
      </c>
      <c r="R1662">
        <v>8.3029870358719796E-2</v>
      </c>
      <c r="S1662" t="s">
        <v>3536</v>
      </c>
      <c r="T1662" t="s">
        <v>3746</v>
      </c>
      <c r="U1662" t="s">
        <v>3746</v>
      </c>
      <c r="V1662" t="s">
        <v>3746</v>
      </c>
      <c r="W1662" t="s">
        <v>5396</v>
      </c>
      <c r="X1662">
        <v>6</v>
      </c>
      <c r="Y1662" t="s">
        <v>7181</v>
      </c>
      <c r="Z1662" t="s">
        <v>9050</v>
      </c>
      <c r="AA1662">
        <v>1.416625428268065</v>
      </c>
      <c r="AB1662" t="str">
        <f>HYPERLINK("Melting_Curves/meltCurve_Q96IY4_CPB2.pdf", "Melting_Curves/meltCurve_Q96IY4_CPB2.pdf")</f>
        <v>Melting_Curves/meltCurve_Q96IY4_CPB2.pdf</v>
      </c>
    </row>
    <row r="1663" spans="1:28" x14ac:dyDescent="0.25">
      <c r="A1663" t="s">
        <v>1667</v>
      </c>
      <c r="B1663">
        <v>1</v>
      </c>
      <c r="C1663">
        <v>0.98095055989100999</v>
      </c>
      <c r="D1663">
        <v>1.0792690942552901</v>
      </c>
      <c r="E1663">
        <v>1.5690094052129</v>
      </c>
      <c r="F1663">
        <v>0.99125207643677504</v>
      </c>
      <c r="G1663">
        <v>1.0050312511203801</v>
      </c>
      <c r="H1663">
        <v>0.71015930303428698</v>
      </c>
      <c r="I1663">
        <v>1.1432771251359399</v>
      </c>
      <c r="J1663">
        <v>1.1727475889432</v>
      </c>
      <c r="K1663">
        <v>0.87246196684871602</v>
      </c>
      <c r="L1663">
        <v>15000</v>
      </c>
      <c r="M1663">
        <v>212.36267098847</v>
      </c>
      <c r="Q1663">
        <v>0</v>
      </c>
      <c r="R1663">
        <v>-2.4712251518657299E-2</v>
      </c>
      <c r="S1663" t="s">
        <v>3537</v>
      </c>
      <c r="T1663" t="s">
        <v>3746</v>
      </c>
      <c r="U1663" t="s">
        <v>3746</v>
      </c>
      <c r="V1663" t="s">
        <v>3746</v>
      </c>
      <c r="W1663" t="s">
        <v>5397</v>
      </c>
      <c r="X1663">
        <v>1</v>
      </c>
      <c r="Y1663" t="s">
        <v>7182</v>
      </c>
      <c r="Z1663" t="s">
        <v>9051</v>
      </c>
      <c r="AA1663">
        <v>0.99852869762010488</v>
      </c>
      <c r="AB1663" t="str">
        <f>HYPERLINK("Melting_Curves/meltCurve_Q96K76_2_USP47.pdf", "Melting_Curves/meltCurve_Q96K76_2_USP47.pdf")</f>
        <v>Melting_Curves/meltCurve_Q96K76_2_USP47.pdf</v>
      </c>
    </row>
    <row r="1664" spans="1:28" x14ac:dyDescent="0.25">
      <c r="A1664" t="s">
        <v>1668</v>
      </c>
      <c r="B1664">
        <v>1</v>
      </c>
      <c r="C1664">
        <v>1.00497121925693</v>
      </c>
      <c r="D1664">
        <v>1.4838653410081999</v>
      </c>
      <c r="E1664">
        <v>1.8239141810570401</v>
      </c>
      <c r="F1664">
        <v>1.5742194313622899</v>
      </c>
      <c r="G1664">
        <v>1.65471829757544</v>
      </c>
      <c r="H1664">
        <v>1.0825047967905099</v>
      </c>
      <c r="I1664">
        <v>2.0126460840746598</v>
      </c>
      <c r="J1664">
        <v>1.90066282923426</v>
      </c>
      <c r="K1664">
        <v>1.74568288854003</v>
      </c>
      <c r="L1664">
        <v>5120.2023420913702</v>
      </c>
      <c r="M1664">
        <v>114.715948388103</v>
      </c>
      <c r="O1664">
        <v>44.6201847536272</v>
      </c>
      <c r="P1664">
        <v>0.32136787596358701</v>
      </c>
      <c r="Q1664">
        <v>1.5</v>
      </c>
      <c r="R1664">
        <v>0.38079871861432102</v>
      </c>
      <c r="S1664" t="s">
        <v>3538</v>
      </c>
      <c r="T1664" t="s">
        <v>3746</v>
      </c>
      <c r="U1664" t="s">
        <v>3746</v>
      </c>
      <c r="V1664" t="s">
        <v>3746</v>
      </c>
      <c r="W1664" t="s">
        <v>5398</v>
      </c>
      <c r="X1664">
        <v>4</v>
      </c>
      <c r="Y1664" t="s">
        <v>7183</v>
      </c>
      <c r="Z1664" t="s">
        <v>9052</v>
      </c>
      <c r="AA1664">
        <v>1.4225847488628329</v>
      </c>
      <c r="AB1664" t="str">
        <f>HYPERLINK("Melting_Curves/meltCurve_Q96KN1_FAM84B.pdf", "Melting_Curves/meltCurve_Q96KN1_FAM84B.pdf")</f>
        <v>Melting_Curves/meltCurve_Q96KN1_FAM84B.pdf</v>
      </c>
    </row>
    <row r="1665" spans="1:28" x14ac:dyDescent="0.25">
      <c r="A1665" t="s">
        <v>1669</v>
      </c>
      <c r="B1665">
        <v>1</v>
      </c>
      <c r="C1665">
        <v>0.93167760966790403</v>
      </c>
      <c r="D1665">
        <v>1.2191692834713099</v>
      </c>
      <c r="E1665">
        <v>1.3008373774859601</v>
      </c>
      <c r="F1665">
        <v>0.99260157959843898</v>
      </c>
      <c r="G1665">
        <v>1.3622847083452301</v>
      </c>
      <c r="H1665">
        <v>0.60495765534303902</v>
      </c>
      <c r="I1665">
        <v>1.1569607003520801</v>
      </c>
      <c r="J1665">
        <v>1.0603054524693101</v>
      </c>
      <c r="K1665">
        <v>0.93193929013226795</v>
      </c>
      <c r="L1665">
        <v>15000</v>
      </c>
      <c r="M1665">
        <v>211.66877217528699</v>
      </c>
      <c r="Q1665">
        <v>0</v>
      </c>
      <c r="R1665">
        <v>-6.2056733552630701E-2</v>
      </c>
      <c r="S1665" t="s">
        <v>3539</v>
      </c>
      <c r="T1665" t="s">
        <v>3746</v>
      </c>
      <c r="U1665" t="s">
        <v>3746</v>
      </c>
      <c r="V1665" t="s">
        <v>3746</v>
      </c>
      <c r="W1665" t="s">
        <v>5399</v>
      </c>
      <c r="X1665">
        <v>17</v>
      </c>
      <c r="Y1665" t="s">
        <v>7184</v>
      </c>
      <c r="Z1665" t="s">
        <v>9053</v>
      </c>
      <c r="AA1665">
        <v>0.99923971276402468</v>
      </c>
      <c r="AB1665" t="str">
        <f>HYPERLINK("Melting_Curves/meltCurve_Q96KP4_CNDP2.pdf", "Melting_Curves/meltCurve_Q96KP4_CNDP2.pdf")</f>
        <v>Melting_Curves/meltCurve_Q96KP4_CNDP2.pdf</v>
      </c>
    </row>
    <row r="1666" spans="1:28" x14ac:dyDescent="0.25">
      <c r="A1666" t="s">
        <v>1670</v>
      </c>
      <c r="B1666">
        <v>1</v>
      </c>
      <c r="C1666">
        <v>1.09851384823238</v>
      </c>
      <c r="D1666">
        <v>1.5411787885611301</v>
      </c>
      <c r="E1666">
        <v>1.9768914658860599</v>
      </c>
      <c r="F1666">
        <v>1.77718982211214</v>
      </c>
      <c r="G1666">
        <v>2.0799088043233498</v>
      </c>
      <c r="H1666">
        <v>1.52203895519027</v>
      </c>
      <c r="I1666">
        <v>2.0424735419950499</v>
      </c>
      <c r="J1666">
        <v>2.0355775726187799</v>
      </c>
      <c r="K1666">
        <v>1.8302465660887199</v>
      </c>
      <c r="L1666">
        <v>10785.273443088699</v>
      </c>
      <c r="M1666">
        <v>250</v>
      </c>
      <c r="O1666">
        <v>43.1383161819682</v>
      </c>
      <c r="P1666">
        <v>0.72441371207904304</v>
      </c>
      <c r="Q1666">
        <v>1.5</v>
      </c>
      <c r="R1666">
        <v>3.5222070930528399E-2</v>
      </c>
      <c r="S1666" t="s">
        <v>3540</v>
      </c>
      <c r="T1666" t="s">
        <v>3746</v>
      </c>
      <c r="U1666" t="s">
        <v>3746</v>
      </c>
      <c r="V1666" t="s">
        <v>3746</v>
      </c>
      <c r="W1666" t="s">
        <v>5400</v>
      </c>
      <c r="X1666">
        <v>3</v>
      </c>
      <c r="Y1666" t="s">
        <v>7185</v>
      </c>
      <c r="Z1666" t="s">
        <v>9054</v>
      </c>
      <c r="AA1666">
        <v>1.4476105811459661</v>
      </c>
      <c r="AB1666" t="str">
        <f>HYPERLINK("Melting_Curves/meltCurve_Q96L35_EPHB4.pdf", "Melting_Curves/meltCurve_Q96L35_EPHB4.pdf")</f>
        <v>Melting_Curves/meltCurve_Q96L35_EPHB4.pdf</v>
      </c>
    </row>
    <row r="1667" spans="1:28" x14ac:dyDescent="0.25">
      <c r="A1667" t="s">
        <v>1671</v>
      </c>
      <c r="B1667">
        <v>1</v>
      </c>
      <c r="C1667">
        <v>1.0162233006269701</v>
      </c>
      <c r="D1667">
        <v>1.42502922319436</v>
      </c>
      <c r="E1667">
        <v>1.6655449682972601</v>
      </c>
      <c r="F1667">
        <v>1.1069273729824201</v>
      </c>
      <c r="G1667">
        <v>1.1378862479779901</v>
      </c>
      <c r="H1667">
        <v>0.94404496239358604</v>
      </c>
      <c r="I1667">
        <v>1.24036224953656</v>
      </c>
      <c r="J1667">
        <v>1.3158112240681099</v>
      </c>
      <c r="K1667">
        <v>1.06677057135773</v>
      </c>
      <c r="L1667">
        <v>10837.149475477499</v>
      </c>
      <c r="M1667">
        <v>250</v>
      </c>
      <c r="O1667">
        <v>43.345825034169103</v>
      </c>
      <c r="P1667">
        <v>0.34287774500250401</v>
      </c>
      <c r="Q1667">
        <v>1.23779709327531</v>
      </c>
      <c r="R1667">
        <v>0.18732320922302001</v>
      </c>
      <c r="S1667" t="s">
        <v>3541</v>
      </c>
      <c r="T1667" t="s">
        <v>3746</v>
      </c>
      <c r="U1667" t="s">
        <v>3746</v>
      </c>
      <c r="V1667" t="s">
        <v>3746</v>
      </c>
      <c r="W1667" t="s">
        <v>5401</v>
      </c>
      <c r="X1667">
        <v>3</v>
      </c>
      <c r="Y1667" t="s">
        <v>7186</v>
      </c>
      <c r="Z1667" t="s">
        <v>9055</v>
      </c>
      <c r="AA1667">
        <v>1.211236107674698</v>
      </c>
      <c r="AB1667" t="str">
        <f>HYPERLINK("Melting_Curves/meltCurve_Q96LJ7_DHRS1.pdf", "Melting_Curves/meltCurve_Q96LJ7_DHRS1.pdf")</f>
        <v>Melting_Curves/meltCurve_Q96LJ7_DHRS1.pdf</v>
      </c>
    </row>
    <row r="1668" spans="1:28" x14ac:dyDescent="0.25">
      <c r="A1668" t="s">
        <v>1672</v>
      </c>
      <c r="B1668">
        <v>1</v>
      </c>
      <c r="C1668">
        <v>1.2125962596259601</v>
      </c>
      <c r="D1668">
        <v>2.2530253025302498</v>
      </c>
      <c r="E1668">
        <v>3.0193436010267698</v>
      </c>
      <c r="F1668">
        <v>2.7676017601760199</v>
      </c>
      <c r="G1668">
        <v>2.8233406674000698</v>
      </c>
      <c r="H1668">
        <v>1.58929226255959</v>
      </c>
      <c r="I1668">
        <v>2.5404290429042899</v>
      </c>
      <c r="J1668">
        <v>2.4291345801246802</v>
      </c>
      <c r="K1668">
        <v>2.0980014668133502</v>
      </c>
      <c r="L1668">
        <v>10737.9339902754</v>
      </c>
      <c r="M1668">
        <v>250</v>
      </c>
      <c r="O1668">
        <v>42.948987293994101</v>
      </c>
      <c r="P1668">
        <v>0.72760737739771097</v>
      </c>
      <c r="Q1668">
        <v>1.5</v>
      </c>
      <c r="R1668">
        <v>-0.96684587498039698</v>
      </c>
      <c r="S1668" t="s">
        <v>3542</v>
      </c>
      <c r="T1668" t="s">
        <v>3746</v>
      </c>
      <c r="U1668" t="s">
        <v>3746</v>
      </c>
      <c r="V1668" t="s">
        <v>3746</v>
      </c>
      <c r="W1668" t="s">
        <v>5402</v>
      </c>
      <c r="X1668">
        <v>1</v>
      </c>
      <c r="Y1668" t="s">
        <v>7187</v>
      </c>
      <c r="Z1668" t="s">
        <v>9056</v>
      </c>
      <c r="AA1668">
        <v>1.4507667108102611</v>
      </c>
      <c r="AB1668" t="str">
        <f>HYPERLINK("Melting_Curves/meltCurve_Q96M27_4_PRRC1.pdf", "Melting_Curves/meltCurve_Q96M27_4_PRRC1.pdf")</f>
        <v>Melting_Curves/meltCurve_Q96M27_4_PRRC1.pdf</v>
      </c>
    </row>
    <row r="1669" spans="1:28" x14ac:dyDescent="0.25">
      <c r="A1669" t="s">
        <v>1673</v>
      </c>
      <c r="B1669">
        <v>1</v>
      </c>
      <c r="C1669">
        <v>0.957862650170342</v>
      </c>
      <c r="D1669">
        <v>1.4601936525013399</v>
      </c>
      <c r="E1669">
        <v>1.5040344271113499</v>
      </c>
      <c r="F1669">
        <v>1.06768872153488</v>
      </c>
      <c r="G1669">
        <v>1.24636901559978</v>
      </c>
      <c r="H1669">
        <v>0.57517482517482499</v>
      </c>
      <c r="I1669">
        <v>1.10695714541868</v>
      </c>
      <c r="J1669">
        <v>0.99031737493275995</v>
      </c>
      <c r="K1669">
        <v>0.89159046082122995</v>
      </c>
      <c r="L1669">
        <v>980.33177614496697</v>
      </c>
      <c r="M1669">
        <v>11.687587841376301</v>
      </c>
      <c r="Q1669">
        <v>0</v>
      </c>
      <c r="R1669">
        <v>-7.8209644563124403E-2</v>
      </c>
      <c r="S1669" t="s">
        <v>3543</v>
      </c>
      <c r="T1669" t="s">
        <v>3746</v>
      </c>
      <c r="U1669" t="s">
        <v>3746</v>
      </c>
      <c r="V1669" t="s">
        <v>3746</v>
      </c>
      <c r="W1669" t="s">
        <v>5403</v>
      </c>
      <c r="X1669">
        <v>1</v>
      </c>
      <c r="Y1669" t="s">
        <v>7188</v>
      </c>
      <c r="Z1669" t="s">
        <v>9057</v>
      </c>
      <c r="AA1669">
        <v>0.98623927888626839</v>
      </c>
      <c r="AB1669" t="str">
        <f>HYPERLINK("Melting_Curves/meltCurve_Q96M93_2_ADAD1.pdf", "Melting_Curves/meltCurve_Q96M93_2_ADAD1.pdf")</f>
        <v>Melting_Curves/meltCurve_Q96M93_2_ADAD1.pdf</v>
      </c>
    </row>
    <row r="1670" spans="1:28" x14ac:dyDescent="0.25">
      <c r="A1670" t="s">
        <v>1674</v>
      </c>
      <c r="B1670">
        <v>1</v>
      </c>
      <c r="C1670">
        <v>0.93514451779186303</v>
      </c>
      <c r="D1670">
        <v>1.34931488835705</v>
      </c>
      <c r="E1670">
        <v>1.8161376009257599</v>
      </c>
      <c r="F1670">
        <v>1.1910028140862099</v>
      </c>
      <c r="G1670">
        <v>1.5647108329169199</v>
      </c>
      <c r="H1670">
        <v>1.0095337032848499</v>
      </c>
      <c r="I1670">
        <v>1.6951581937248501</v>
      </c>
      <c r="J1670">
        <v>1.7630118612418799</v>
      </c>
      <c r="K1670">
        <v>1.64597743471057</v>
      </c>
      <c r="L1670">
        <v>11461.324056904899</v>
      </c>
      <c r="M1670">
        <v>250</v>
      </c>
      <c r="O1670">
        <v>45.842380614120998</v>
      </c>
      <c r="P1670">
        <v>0.68168389021693698</v>
      </c>
      <c r="Q1670">
        <v>1.5</v>
      </c>
      <c r="R1670">
        <v>0.45662296825581999</v>
      </c>
      <c r="S1670" t="s">
        <v>3544</v>
      </c>
      <c r="T1670" t="s">
        <v>3746</v>
      </c>
      <c r="U1670" t="s">
        <v>3746</v>
      </c>
      <c r="V1670" t="s">
        <v>3746</v>
      </c>
      <c r="W1670" t="s">
        <v>5404</v>
      </c>
      <c r="X1670">
        <v>6</v>
      </c>
      <c r="Y1670" t="s">
        <v>7189</v>
      </c>
      <c r="Z1670" t="s">
        <v>9058</v>
      </c>
      <c r="AA1670">
        <v>1.4025381673156549</v>
      </c>
      <c r="AB1670" t="str">
        <f>HYPERLINK("Melting_Curves/meltCurve_Q96MK3_FAM20A.pdf", "Melting_Curves/meltCurve_Q96MK3_FAM20A.pdf")</f>
        <v>Melting_Curves/meltCurve_Q96MK3_FAM20A.pdf</v>
      </c>
    </row>
    <row r="1671" spans="1:28" x14ac:dyDescent="0.25">
      <c r="A1671" t="s">
        <v>1675</v>
      </c>
      <c r="B1671">
        <v>1</v>
      </c>
      <c r="C1671">
        <v>1.0951682095281099</v>
      </c>
      <c r="D1671">
        <v>1.25283641905622</v>
      </c>
      <c r="E1671">
        <v>1.32946206818695</v>
      </c>
      <c r="F1671">
        <v>0.91760273199367803</v>
      </c>
      <c r="G1671">
        <v>1.08513490629939</v>
      </c>
      <c r="H1671">
        <v>0.56622544592458801</v>
      </c>
      <c r="I1671">
        <v>0.87291149243621602</v>
      </c>
      <c r="J1671">
        <v>0.91003894784375705</v>
      </c>
      <c r="K1671">
        <v>0.82123504177015105</v>
      </c>
      <c r="L1671">
        <v>4154.7692488510602</v>
      </c>
      <c r="M1671">
        <v>70.939585723554899</v>
      </c>
      <c r="O1671">
        <v>58.5212146558288</v>
      </c>
      <c r="P1671">
        <v>-6.1702770454110697E-2</v>
      </c>
      <c r="Q1671">
        <v>0.79639459642252597</v>
      </c>
      <c r="R1671">
        <v>0.36452485770109799</v>
      </c>
      <c r="S1671" t="s">
        <v>3545</v>
      </c>
      <c r="T1671" t="s">
        <v>3746</v>
      </c>
      <c r="U1671" t="s">
        <v>3746</v>
      </c>
      <c r="V1671" t="s">
        <v>3746</v>
      </c>
      <c r="W1671" t="s">
        <v>5405</v>
      </c>
      <c r="X1671">
        <v>9</v>
      </c>
      <c r="Y1671" t="s">
        <v>7190</v>
      </c>
      <c r="Z1671" t="s">
        <v>9059</v>
      </c>
      <c r="AA1671">
        <v>0.92267130885833148</v>
      </c>
      <c r="AB1671" t="str">
        <f>HYPERLINK("Melting_Curves/meltCurve_Q96NY8_PVRL4.pdf", "Melting_Curves/meltCurve_Q96NY8_PVRL4.pdf")</f>
        <v>Melting_Curves/meltCurve_Q96NY8_PVRL4.pdf</v>
      </c>
    </row>
    <row r="1672" spans="1:28" x14ac:dyDescent="0.25">
      <c r="A1672" t="s">
        <v>1676</v>
      </c>
      <c r="B1672">
        <v>1</v>
      </c>
      <c r="C1672">
        <v>1.11003487020535</v>
      </c>
      <c r="D1672">
        <v>1.5981208833785401</v>
      </c>
      <c r="E1672">
        <v>1.8119914761720299</v>
      </c>
      <c r="F1672">
        <v>1.30734211545912</v>
      </c>
      <c r="G1672">
        <v>1.5208252615265401</v>
      </c>
      <c r="H1672">
        <v>0.88286516853932595</v>
      </c>
      <c r="I1672">
        <v>1.3791166214645501</v>
      </c>
      <c r="J1672">
        <v>1.37659821774506</v>
      </c>
      <c r="K1672">
        <v>1.26065478496707</v>
      </c>
      <c r="L1672">
        <v>10765.397037578399</v>
      </c>
      <c r="M1672">
        <v>250</v>
      </c>
      <c r="O1672">
        <v>43.058832712753002</v>
      </c>
      <c r="P1672">
        <v>0.56926374474363794</v>
      </c>
      <c r="Q1672">
        <v>1.39218931522029</v>
      </c>
      <c r="R1672">
        <v>0.26566670969038197</v>
      </c>
      <c r="S1672" t="s">
        <v>3546</v>
      </c>
      <c r="T1672" t="s">
        <v>3746</v>
      </c>
      <c r="U1672" t="s">
        <v>3746</v>
      </c>
      <c r="V1672" t="s">
        <v>3746</v>
      </c>
      <c r="W1672" t="s">
        <v>5406</v>
      </c>
      <c r="X1672">
        <v>7</v>
      </c>
      <c r="Y1672" t="s">
        <v>7191</v>
      </c>
      <c r="Z1672" t="s">
        <v>9060</v>
      </c>
      <c r="AA1672">
        <v>1.352135604511101</v>
      </c>
      <c r="AB1672" t="str">
        <f>HYPERLINK("Melting_Curves/meltCurve_Q96PD5_PGLYRP2.pdf", "Melting_Curves/meltCurve_Q96PD5_PGLYRP2.pdf")</f>
        <v>Melting_Curves/meltCurve_Q96PD5_PGLYRP2.pdf</v>
      </c>
    </row>
    <row r="1673" spans="1:28" x14ac:dyDescent="0.25">
      <c r="A1673" t="s">
        <v>1677</v>
      </c>
      <c r="B1673">
        <v>1</v>
      </c>
      <c r="C1673">
        <v>0.97755781941275399</v>
      </c>
      <c r="D1673">
        <v>1.3685980867907099</v>
      </c>
      <c r="E1673">
        <v>1.5920557894398599</v>
      </c>
      <c r="F1673">
        <v>1.48707566067851</v>
      </c>
      <c r="G1673">
        <v>1.5001446154835001</v>
      </c>
      <c r="H1673">
        <v>0.64888431832546001</v>
      </c>
      <c r="I1673">
        <v>1.2234469903911001</v>
      </c>
      <c r="J1673">
        <v>1.3338903707512499</v>
      </c>
      <c r="K1673">
        <v>1.2149843065419801</v>
      </c>
      <c r="L1673">
        <v>11074.5315047636</v>
      </c>
      <c r="M1673">
        <v>250</v>
      </c>
      <c r="O1673">
        <v>44.295291248266601</v>
      </c>
      <c r="P1673">
        <v>0.41784476850947599</v>
      </c>
      <c r="Q1673">
        <v>1.2961368910326301</v>
      </c>
      <c r="R1673">
        <v>0.199977931602766</v>
      </c>
      <c r="S1673" t="s">
        <v>3547</v>
      </c>
      <c r="T1673" t="s">
        <v>3746</v>
      </c>
      <c r="U1673" t="s">
        <v>3746</v>
      </c>
      <c r="V1673" t="s">
        <v>3746</v>
      </c>
      <c r="W1673" t="s">
        <v>5407</v>
      </c>
      <c r="X1673">
        <v>1</v>
      </c>
      <c r="Y1673" t="s">
        <v>7192</v>
      </c>
      <c r="Z1673" t="s">
        <v>9061</v>
      </c>
      <c r="AA1673">
        <v>1.253686079385633</v>
      </c>
      <c r="AB1673" t="str">
        <f>HYPERLINK("Melting_Curves/meltCurve_Q96Q06_PLIN4.pdf", "Melting_Curves/meltCurve_Q96Q06_PLIN4.pdf")</f>
        <v>Melting_Curves/meltCurve_Q96Q06_PLIN4.pdf</v>
      </c>
    </row>
    <row r="1674" spans="1:28" x14ac:dyDescent="0.25">
      <c r="A1674" t="s">
        <v>1678</v>
      </c>
      <c r="B1674">
        <v>1</v>
      </c>
      <c r="C1674">
        <v>1.10547828015589</v>
      </c>
      <c r="D1674">
        <v>1.5845505528975601</v>
      </c>
      <c r="E1674">
        <v>2.2086330175427502</v>
      </c>
      <c r="F1674">
        <v>1.65837584360445</v>
      </c>
      <c r="G1674">
        <v>1.9803977482758299</v>
      </c>
      <c r="H1674">
        <v>1.26633080912096</v>
      </c>
      <c r="I1674">
        <v>2.20789370847988</v>
      </c>
      <c r="J1674">
        <v>2.2649261219015</v>
      </c>
      <c r="K1674">
        <v>2.0709103006875602</v>
      </c>
      <c r="L1674">
        <v>10781.592315751101</v>
      </c>
      <c r="M1674">
        <v>250</v>
      </c>
      <c r="O1674">
        <v>43.123609457952597</v>
      </c>
      <c r="P1674">
        <v>0.72466104824979904</v>
      </c>
      <c r="Q1674">
        <v>1.5</v>
      </c>
      <c r="R1674">
        <v>-6.9698360691731603E-2</v>
      </c>
      <c r="S1674" t="s">
        <v>3548</v>
      </c>
      <c r="T1674" t="s">
        <v>3746</v>
      </c>
      <c r="U1674" t="s">
        <v>3746</v>
      </c>
      <c r="V1674" t="s">
        <v>3746</v>
      </c>
      <c r="W1674" t="s">
        <v>5408</v>
      </c>
      <c r="X1674">
        <v>3</v>
      </c>
      <c r="Y1674" t="s">
        <v>7193</v>
      </c>
      <c r="Z1674" t="s">
        <v>9062</v>
      </c>
      <c r="AA1674">
        <v>1.447856002555145</v>
      </c>
      <c r="AB1674" t="str">
        <f>HYPERLINK("Melting_Curves/meltCurve_Q96QK1_VPS35.pdf", "Melting_Curves/meltCurve_Q96QK1_VPS35.pdf")</f>
        <v>Melting_Curves/meltCurve_Q96QK1_VPS35.pdf</v>
      </c>
    </row>
    <row r="1675" spans="1:28" x14ac:dyDescent="0.25">
      <c r="A1675" t="s">
        <v>1679</v>
      </c>
      <c r="B1675">
        <v>1</v>
      </c>
      <c r="C1675">
        <v>0.82578737411777803</v>
      </c>
      <c r="D1675">
        <v>1.95544954947415</v>
      </c>
      <c r="E1675">
        <v>2.6981895277150101</v>
      </c>
      <c r="F1675">
        <v>1.66917733701565</v>
      </c>
      <c r="G1675">
        <v>1.17337573576589</v>
      </c>
      <c r="H1675">
        <v>1.6446843529444599</v>
      </c>
      <c r="I1675">
        <v>2.7053867827154301</v>
      </c>
      <c r="J1675">
        <v>2.6160348146288399</v>
      </c>
      <c r="K1675">
        <v>2.3576310430440501</v>
      </c>
      <c r="L1675">
        <v>11079.1914294083</v>
      </c>
      <c r="M1675">
        <v>250</v>
      </c>
      <c r="O1675">
        <v>44.313929751272497</v>
      </c>
      <c r="P1675">
        <v>0.70519586552097302</v>
      </c>
      <c r="Q1675">
        <v>1.5</v>
      </c>
      <c r="R1675">
        <v>-0.142121023790895</v>
      </c>
      <c r="S1675" t="s">
        <v>3549</v>
      </c>
      <c r="T1675" t="s">
        <v>3746</v>
      </c>
      <c r="U1675" t="s">
        <v>3746</v>
      </c>
      <c r="V1675" t="s">
        <v>3746</v>
      </c>
      <c r="W1675" t="s">
        <v>5409</v>
      </c>
      <c r="X1675">
        <v>1</v>
      </c>
      <c r="Y1675" t="s">
        <v>7194</v>
      </c>
      <c r="Z1675" t="s">
        <v>9063</v>
      </c>
      <c r="AA1675">
        <v>1.428015017089052</v>
      </c>
      <c r="AB1675" t="str">
        <f>HYPERLINK("Melting_Curves/meltCurve_Q96QR8_PURB.pdf", "Melting_Curves/meltCurve_Q96QR8_PURB.pdf")</f>
        <v>Melting_Curves/meltCurve_Q96QR8_PURB.pdf</v>
      </c>
    </row>
    <row r="1676" spans="1:28" x14ac:dyDescent="0.25">
      <c r="A1676" t="s">
        <v>1680</v>
      </c>
      <c r="B1676">
        <v>1</v>
      </c>
      <c r="C1676">
        <v>1.6883530965792599</v>
      </c>
      <c r="D1676">
        <v>1.4446654419021301</v>
      </c>
      <c r="E1676">
        <v>1.6377936018705499</v>
      </c>
      <c r="F1676">
        <v>0.90990389141095895</v>
      </c>
      <c r="G1676">
        <v>1.30095804928412</v>
      </c>
      <c r="H1676">
        <v>0.809118928685301</v>
      </c>
      <c r="I1676">
        <v>1.60454276300806</v>
      </c>
      <c r="J1676">
        <v>1.0661676510332101</v>
      </c>
      <c r="K1676">
        <v>1.0366062888116201</v>
      </c>
      <c r="L1676">
        <v>10225.950421084201</v>
      </c>
      <c r="M1676">
        <v>250</v>
      </c>
      <c r="O1676">
        <v>40.901160660529399</v>
      </c>
      <c r="P1676">
        <v>0.42414302809152399</v>
      </c>
      <c r="Q1676">
        <v>1.2775672344126101</v>
      </c>
      <c r="R1676">
        <v>7.2180286089353896E-2</v>
      </c>
      <c r="S1676" t="s">
        <v>3550</v>
      </c>
      <c r="T1676" t="s">
        <v>3746</v>
      </c>
      <c r="U1676" t="s">
        <v>3746</v>
      </c>
      <c r="V1676" t="s">
        <v>3746</v>
      </c>
      <c r="W1676" t="s">
        <v>5410</v>
      </c>
      <c r="X1676">
        <v>1</v>
      </c>
      <c r="Y1676" t="s">
        <v>7195</v>
      </c>
      <c r="Z1676" t="s">
        <v>9064</v>
      </c>
      <c r="AA1676">
        <v>1.269180067870338</v>
      </c>
      <c r="AB1676" t="str">
        <f>HYPERLINK("Melting_Curves/meltCurve_Q96RF0_3_SNX18.pdf", "Melting_Curves/meltCurve_Q96RF0_3_SNX18.pdf")</f>
        <v>Melting_Curves/meltCurve_Q96RF0_3_SNX18.pdf</v>
      </c>
    </row>
    <row r="1677" spans="1:28" x14ac:dyDescent="0.25">
      <c r="A1677" t="s">
        <v>1681</v>
      </c>
      <c r="B1677">
        <v>1</v>
      </c>
      <c r="C1677">
        <v>1.39187589106638</v>
      </c>
      <c r="D1677">
        <v>2.5284537128772699</v>
      </c>
      <c r="E1677">
        <v>3.29555614624363</v>
      </c>
      <c r="F1677">
        <v>2.3319962303361299</v>
      </c>
      <c r="G1677">
        <v>2.8290602421284099</v>
      </c>
      <c r="H1677">
        <v>1.68873692095788</v>
      </c>
      <c r="I1677">
        <v>2.3825000604112798</v>
      </c>
      <c r="J1677">
        <v>2.4564434671241799</v>
      </c>
      <c r="K1677">
        <v>2.2225309909866402</v>
      </c>
      <c r="L1677">
        <v>1.0000000003174099E-5</v>
      </c>
      <c r="M1677">
        <v>57.633905140511303</v>
      </c>
      <c r="Q1677">
        <v>1.5</v>
      </c>
      <c r="R1677">
        <v>-1.2170631674181001</v>
      </c>
      <c r="S1677" t="s">
        <v>3551</v>
      </c>
      <c r="T1677" t="s">
        <v>3746</v>
      </c>
      <c r="U1677" t="s">
        <v>3746</v>
      </c>
      <c r="V1677" t="s">
        <v>3746</v>
      </c>
      <c r="W1677" t="s">
        <v>5411</v>
      </c>
      <c r="X1677">
        <v>5</v>
      </c>
      <c r="Y1677" t="s">
        <v>7196</v>
      </c>
      <c r="Z1677" t="s">
        <v>9065</v>
      </c>
      <c r="AA1677">
        <v>1.5</v>
      </c>
      <c r="AB1677" t="str">
        <f>HYPERLINK("Melting_Curves/meltCurve_Q96S96_PEBP4.pdf", "Melting_Curves/meltCurve_Q96S96_PEBP4.pdf")</f>
        <v>Melting_Curves/meltCurve_Q96S96_PEBP4.pdf</v>
      </c>
    </row>
    <row r="1678" spans="1:28" x14ac:dyDescent="0.25">
      <c r="A1678" t="s">
        <v>1682</v>
      </c>
      <c r="B1678">
        <v>1</v>
      </c>
      <c r="C1678">
        <v>0.81945694839569305</v>
      </c>
      <c r="D1678">
        <v>0.84954445604811102</v>
      </c>
      <c r="E1678">
        <v>0.98149015088768099</v>
      </c>
      <c r="F1678">
        <v>0.56082322013756303</v>
      </c>
      <c r="G1678">
        <v>0.85429795815477705</v>
      </c>
      <c r="H1678">
        <v>0.58412258273614504</v>
      </c>
      <c r="I1678">
        <v>0.84986855846447495</v>
      </c>
      <c r="J1678">
        <v>0.77411862148438904</v>
      </c>
      <c r="K1678">
        <v>0.938834671756275</v>
      </c>
      <c r="L1678">
        <v>871.29616779149899</v>
      </c>
      <c r="M1678">
        <v>20.537502460910599</v>
      </c>
      <c r="O1678">
        <v>42.028555832209904</v>
      </c>
      <c r="P1678">
        <v>-2.5802736621933699E-2</v>
      </c>
      <c r="Q1678">
        <v>0.78879223919887198</v>
      </c>
      <c r="R1678">
        <v>0.16810112008119901</v>
      </c>
      <c r="S1678" t="s">
        <v>3552</v>
      </c>
      <c r="T1678" t="s">
        <v>3746</v>
      </c>
      <c r="U1678" t="s">
        <v>3746</v>
      </c>
      <c r="V1678" t="s">
        <v>3746</v>
      </c>
      <c r="W1678" t="s">
        <v>5412</v>
      </c>
      <c r="X1678">
        <v>5</v>
      </c>
      <c r="Y1678" t="s">
        <v>7197</v>
      </c>
      <c r="Z1678" t="s">
        <v>9066</v>
      </c>
      <c r="AA1678">
        <v>0.81125048974104219</v>
      </c>
      <c r="AB1678" t="str">
        <f>HYPERLINK("Melting_Curves/meltCurve_Q96TA1_2_FAM129B.pdf", "Melting_Curves/meltCurve_Q96TA1_2_FAM129B.pdf")</f>
        <v>Melting_Curves/meltCurve_Q96TA1_2_FAM129B.pdf</v>
      </c>
    </row>
    <row r="1679" spans="1:28" x14ac:dyDescent="0.25">
      <c r="A1679" t="s">
        <v>1683</v>
      </c>
      <c r="B1679">
        <v>1</v>
      </c>
      <c r="C1679">
        <v>1.0932324944582099</v>
      </c>
      <c r="D1679">
        <v>1.9881992437084399</v>
      </c>
      <c r="E1679">
        <v>3.8111878993349899</v>
      </c>
      <c r="F1679">
        <v>2.3102751336549701</v>
      </c>
      <c r="G1679">
        <v>1.95018907289086</v>
      </c>
      <c r="H1679">
        <v>2.2372538792541401</v>
      </c>
      <c r="I1679">
        <v>2.4239144608162699</v>
      </c>
      <c r="J1679">
        <v>2.7508801669057199</v>
      </c>
      <c r="K1679">
        <v>2.9344764636849701</v>
      </c>
      <c r="L1679">
        <v>10788.1976172377</v>
      </c>
      <c r="M1679">
        <v>250</v>
      </c>
      <c r="O1679">
        <v>43.150029152686102</v>
      </c>
      <c r="P1679">
        <v>0.72421735924159303</v>
      </c>
      <c r="Q1679">
        <v>1.5</v>
      </c>
      <c r="R1679">
        <v>-0.83346247590944</v>
      </c>
      <c r="S1679" t="s">
        <v>3553</v>
      </c>
      <c r="T1679" t="s">
        <v>3746</v>
      </c>
      <c r="U1679" t="s">
        <v>3746</v>
      </c>
      <c r="V1679" t="s">
        <v>3746</v>
      </c>
      <c r="W1679" t="s">
        <v>5413</v>
      </c>
      <c r="X1679">
        <v>3</v>
      </c>
      <c r="Y1679" t="s">
        <v>7198</v>
      </c>
      <c r="Z1679" t="s">
        <v>9067</v>
      </c>
      <c r="AA1679">
        <v>1.447415625939527</v>
      </c>
      <c r="AB1679" t="str">
        <f>HYPERLINK("Melting_Curves/meltCurve_Q99436_PSMB7.pdf", "Melting_Curves/meltCurve_Q99436_PSMB7.pdf")</f>
        <v>Melting_Curves/meltCurve_Q99436_PSMB7.pdf</v>
      </c>
    </row>
    <row r="1680" spans="1:28" x14ac:dyDescent="0.25">
      <c r="A1680" t="s">
        <v>1684</v>
      </c>
      <c r="B1680">
        <v>1</v>
      </c>
      <c r="C1680">
        <v>1.0696396626629201</v>
      </c>
      <c r="D1680">
        <v>1.39053582076838</v>
      </c>
      <c r="E1680">
        <v>1.9470568191498401</v>
      </c>
      <c r="F1680">
        <v>1.2126671777834599</v>
      </c>
      <c r="G1680">
        <v>1.1448590169520401</v>
      </c>
      <c r="H1680">
        <v>0.80735156316551704</v>
      </c>
      <c r="I1680">
        <v>1.38998211091234</v>
      </c>
      <c r="J1680">
        <v>1.5632081097197399</v>
      </c>
      <c r="K1680">
        <v>1.8599539994888801</v>
      </c>
      <c r="L1680">
        <v>2959.4183851112798</v>
      </c>
      <c r="M1680">
        <v>67.356539877032205</v>
      </c>
      <c r="O1680">
        <v>43.897920276253103</v>
      </c>
      <c r="P1680">
        <v>0.15993550779465901</v>
      </c>
      <c r="Q1680">
        <v>1.41693571192962</v>
      </c>
      <c r="R1680">
        <v>0.19131900762467499</v>
      </c>
      <c r="S1680" t="s">
        <v>3554</v>
      </c>
      <c r="T1680" t="s">
        <v>3746</v>
      </c>
      <c r="U1680" t="s">
        <v>3746</v>
      </c>
      <c r="V1680" t="s">
        <v>3746</v>
      </c>
      <c r="W1680" t="s">
        <v>5414</v>
      </c>
      <c r="X1680">
        <v>3</v>
      </c>
      <c r="Y1680" t="s">
        <v>7199</v>
      </c>
      <c r="Z1680" t="s">
        <v>9068</v>
      </c>
      <c r="AA1680">
        <v>1.3617713851617801</v>
      </c>
      <c r="AB1680" t="str">
        <f>HYPERLINK("Melting_Curves/meltCurve_Q99447_3_PCYT2.pdf", "Melting_Curves/meltCurve_Q99447_3_PCYT2.pdf")</f>
        <v>Melting_Curves/meltCurve_Q99447_3_PCYT2.pdf</v>
      </c>
    </row>
    <row r="1681" spans="1:28" x14ac:dyDescent="0.25">
      <c r="A1681" t="s">
        <v>1685</v>
      </c>
      <c r="B1681">
        <v>1</v>
      </c>
      <c r="C1681">
        <v>0.88511125966956306</v>
      </c>
      <c r="D1681">
        <v>1.6386527870626799</v>
      </c>
      <c r="E1681">
        <v>2.57759526310763</v>
      </c>
      <c r="F1681">
        <v>2.2918855251010699</v>
      </c>
      <c r="G1681">
        <v>2.4429376372839302</v>
      </c>
      <c r="H1681">
        <v>1.5898035845032299</v>
      </c>
      <c r="I1681">
        <v>2.8079139209881299</v>
      </c>
      <c r="J1681">
        <v>2.8301976888549301</v>
      </c>
      <c r="K1681">
        <v>2.4521694839716002</v>
      </c>
      <c r="L1681">
        <v>11096.376826718901</v>
      </c>
      <c r="M1681">
        <v>250</v>
      </c>
      <c r="O1681">
        <v>44.3826670217097</v>
      </c>
      <c r="P1681">
        <v>0.70410370081528195</v>
      </c>
      <c r="Q1681">
        <v>1.5</v>
      </c>
      <c r="R1681">
        <v>-0.51919908144148397</v>
      </c>
      <c r="S1681" t="s">
        <v>3555</v>
      </c>
      <c r="T1681" t="s">
        <v>3746</v>
      </c>
      <c r="U1681" t="s">
        <v>3746</v>
      </c>
      <c r="V1681" t="s">
        <v>3746</v>
      </c>
      <c r="W1681" t="s">
        <v>5415</v>
      </c>
      <c r="X1681">
        <v>5</v>
      </c>
      <c r="Y1681" t="s">
        <v>7200</v>
      </c>
      <c r="Z1681" t="s">
        <v>9069</v>
      </c>
      <c r="AA1681">
        <v>1.4268692636148039</v>
      </c>
      <c r="AB1681" t="str">
        <f>HYPERLINK("Melting_Curves/meltCurve_Q99460_PSMD1.pdf", "Melting_Curves/meltCurve_Q99460_PSMD1.pdf")</f>
        <v>Melting_Curves/meltCurve_Q99460_PSMD1.pdf</v>
      </c>
    </row>
    <row r="1682" spans="1:28" x14ac:dyDescent="0.25">
      <c r="A1682" t="s">
        <v>1686</v>
      </c>
      <c r="B1682">
        <v>1</v>
      </c>
      <c r="C1682">
        <v>1.12650764672433</v>
      </c>
      <c r="D1682">
        <v>1.5946188609223999</v>
      </c>
      <c r="E1682">
        <v>1.95394008320115</v>
      </c>
      <c r="F1682">
        <v>1.3790740131086701</v>
      </c>
      <c r="G1682">
        <v>1.76551043007213</v>
      </c>
      <c r="H1682">
        <v>0.88480531529644102</v>
      </c>
      <c r="I1682">
        <v>1.3711728967767001</v>
      </c>
      <c r="J1682">
        <v>1.3241851973782699</v>
      </c>
      <c r="K1682">
        <v>1.23254421931584</v>
      </c>
      <c r="L1682">
        <v>10763.687806992401</v>
      </c>
      <c r="M1682">
        <v>250</v>
      </c>
      <c r="O1682">
        <v>43.051996164626203</v>
      </c>
      <c r="P1682">
        <v>0.63619492035223801</v>
      </c>
      <c r="Q1682">
        <v>1.4382313782423699</v>
      </c>
      <c r="R1682">
        <v>0.23295421637880101</v>
      </c>
      <c r="S1682" t="s">
        <v>3556</v>
      </c>
      <c r="T1682" t="s">
        <v>3746</v>
      </c>
      <c r="U1682" t="s">
        <v>3746</v>
      </c>
      <c r="V1682" t="s">
        <v>3746</v>
      </c>
      <c r="W1682" t="s">
        <v>5416</v>
      </c>
      <c r="X1682">
        <v>11</v>
      </c>
      <c r="Y1682" t="s">
        <v>7201</v>
      </c>
      <c r="Z1682" t="s">
        <v>9070</v>
      </c>
      <c r="AA1682">
        <v>1.3935753372577371</v>
      </c>
      <c r="AB1682" t="str">
        <f>HYPERLINK("Melting_Curves/meltCurve_Q99497_PARK7.pdf", "Melting_Curves/meltCurve_Q99497_PARK7.pdf")</f>
        <v>Melting_Curves/meltCurve_Q99497_PARK7.pdf</v>
      </c>
    </row>
    <row r="1683" spans="1:28" x14ac:dyDescent="0.25">
      <c r="A1683" t="s">
        <v>1687</v>
      </c>
      <c r="B1683">
        <v>1</v>
      </c>
      <c r="C1683">
        <v>1.04767042006608</v>
      </c>
      <c r="D1683">
        <v>1.54446766907154</v>
      </c>
      <c r="E1683">
        <v>1.9724900546153299</v>
      </c>
      <c r="F1683">
        <v>1.33982873710471</v>
      </c>
      <c r="G1683">
        <v>1.54945721798935</v>
      </c>
      <c r="H1683">
        <v>1.0799002090216401</v>
      </c>
      <c r="I1683">
        <v>1.78140381633066</v>
      </c>
      <c r="J1683">
        <v>1.78571910188119</v>
      </c>
      <c r="K1683">
        <v>1.64257298900951</v>
      </c>
      <c r="L1683">
        <v>10821.529104011899</v>
      </c>
      <c r="M1683">
        <v>250</v>
      </c>
      <c r="O1683">
        <v>43.283350189489703</v>
      </c>
      <c r="P1683">
        <v>0.72198669091060497</v>
      </c>
      <c r="Q1683">
        <v>1.5</v>
      </c>
      <c r="R1683">
        <v>0.42306949529236199</v>
      </c>
      <c r="S1683" t="s">
        <v>3557</v>
      </c>
      <c r="T1683" t="s">
        <v>3746</v>
      </c>
      <c r="U1683" t="s">
        <v>3746</v>
      </c>
      <c r="V1683" t="s">
        <v>3746</v>
      </c>
      <c r="W1683" t="s">
        <v>5417</v>
      </c>
      <c r="X1683">
        <v>10</v>
      </c>
      <c r="Y1683" t="s">
        <v>7202</v>
      </c>
      <c r="Z1683" t="s">
        <v>9071</v>
      </c>
      <c r="AA1683">
        <v>1.4451934098326169</v>
      </c>
      <c r="AB1683" t="str">
        <f>HYPERLINK("Melting_Curves/meltCurve_Q99519_NEU1.pdf", "Melting_Curves/meltCurve_Q99519_NEU1.pdf")</f>
        <v>Melting_Curves/meltCurve_Q99519_NEU1.pdf</v>
      </c>
    </row>
    <row r="1684" spans="1:28" x14ac:dyDescent="0.25">
      <c r="A1684" t="s">
        <v>1688</v>
      </c>
      <c r="B1684">
        <v>1</v>
      </c>
      <c r="C1684">
        <v>1.0130837995056401</v>
      </c>
      <c r="D1684">
        <v>1.3037151300016701</v>
      </c>
      <c r="E1684">
        <v>1.4302600033452899</v>
      </c>
      <c r="F1684">
        <v>0.98383110004274499</v>
      </c>
      <c r="G1684">
        <v>1.2521233296782901</v>
      </c>
      <c r="H1684">
        <v>0.62584793800063199</v>
      </c>
      <c r="I1684">
        <v>1.1060828516735699</v>
      </c>
      <c r="J1684">
        <v>1.0464251863140499</v>
      </c>
      <c r="K1684">
        <v>0.92575315479398601</v>
      </c>
      <c r="L1684">
        <v>15000</v>
      </c>
      <c r="M1684">
        <v>211.762448284675</v>
      </c>
      <c r="Q1684">
        <v>0</v>
      </c>
      <c r="R1684">
        <v>-9.2043843323488903E-2</v>
      </c>
      <c r="S1684" t="s">
        <v>3558</v>
      </c>
      <c r="T1684" t="s">
        <v>3746</v>
      </c>
      <c r="U1684" t="s">
        <v>3746</v>
      </c>
      <c r="V1684" t="s">
        <v>3746</v>
      </c>
      <c r="W1684" t="s">
        <v>5418</v>
      </c>
      <c r="X1684">
        <v>3</v>
      </c>
      <c r="Y1684" t="s">
        <v>7203</v>
      </c>
      <c r="Z1684" t="s">
        <v>9072</v>
      </c>
      <c r="AA1684">
        <v>0.99916787284296238</v>
      </c>
      <c r="AB1684" t="str">
        <f>HYPERLINK("Melting_Curves/meltCurve_Q99523_SORT1.pdf", "Melting_Curves/meltCurve_Q99523_SORT1.pdf")</f>
        <v>Melting_Curves/meltCurve_Q99523_SORT1.pdf</v>
      </c>
    </row>
    <row r="1685" spans="1:28" x14ac:dyDescent="0.25">
      <c r="A1685" t="s">
        <v>1689</v>
      </c>
      <c r="B1685">
        <v>1</v>
      </c>
      <c r="C1685">
        <v>1.0024141455882001</v>
      </c>
      <c r="D1685">
        <v>1.4749777072141601</v>
      </c>
      <c r="E1685">
        <v>1.77524522064421</v>
      </c>
      <c r="F1685">
        <v>1.54816329193762</v>
      </c>
      <c r="G1685">
        <v>1.9105461188803601</v>
      </c>
      <c r="H1685">
        <v>1.2342156201744301</v>
      </c>
      <c r="I1685">
        <v>2.12723199721612</v>
      </c>
      <c r="J1685">
        <v>2.0231192500924302</v>
      </c>
      <c r="K1685">
        <v>1.7772461341046999</v>
      </c>
      <c r="L1685">
        <v>5365.7212148161098</v>
      </c>
      <c r="M1685">
        <v>119.592012609384</v>
      </c>
      <c r="O1685">
        <v>44.8543438003856</v>
      </c>
      <c r="P1685">
        <v>0.333278802010884</v>
      </c>
      <c r="Q1685">
        <v>1.5</v>
      </c>
      <c r="R1685">
        <v>0.284506359535739</v>
      </c>
      <c r="S1685" t="s">
        <v>3559</v>
      </c>
      <c r="T1685" t="s">
        <v>3746</v>
      </c>
      <c r="U1685" t="s">
        <v>3746</v>
      </c>
      <c r="V1685" t="s">
        <v>3746</v>
      </c>
      <c r="W1685" t="s">
        <v>5419</v>
      </c>
      <c r="X1685">
        <v>9</v>
      </c>
      <c r="Y1685" t="s">
        <v>7204</v>
      </c>
      <c r="Z1685" t="s">
        <v>9073</v>
      </c>
      <c r="AA1685">
        <v>1.418713053788796</v>
      </c>
      <c r="AB1685" t="str">
        <f>HYPERLINK("Melting_Curves/meltCurve_Q99536_VAT1.pdf", "Melting_Curves/meltCurve_Q99536_VAT1.pdf")</f>
        <v>Melting_Curves/meltCurve_Q99536_VAT1.pdf</v>
      </c>
    </row>
    <row r="1686" spans="1:28" x14ac:dyDescent="0.25">
      <c r="A1686" t="s">
        <v>1690</v>
      </c>
      <c r="B1686">
        <v>1</v>
      </c>
      <c r="C1686">
        <v>1.21379876278248</v>
      </c>
      <c r="D1686">
        <v>1.59777805832597</v>
      </c>
      <c r="E1686">
        <v>2.32420148971089</v>
      </c>
      <c r="F1686">
        <v>1.5850271430375</v>
      </c>
      <c r="G1686">
        <v>1.9931195556116701</v>
      </c>
      <c r="H1686">
        <v>1.2792576694861799</v>
      </c>
      <c r="I1686">
        <v>1.8422863274839001</v>
      </c>
      <c r="J1686">
        <v>1.79140891301603</v>
      </c>
      <c r="K1686">
        <v>1.74779068299457</v>
      </c>
      <c r="L1686">
        <v>10737.5122124109</v>
      </c>
      <c r="M1686">
        <v>250</v>
      </c>
      <c r="O1686">
        <v>42.9473002969589</v>
      </c>
      <c r="P1686">
        <v>0.72763595838367501</v>
      </c>
      <c r="Q1686">
        <v>1.5</v>
      </c>
      <c r="R1686">
        <v>0.10250903302192001</v>
      </c>
      <c r="S1686" t="s">
        <v>3560</v>
      </c>
      <c r="T1686" t="s">
        <v>3746</v>
      </c>
      <c r="U1686" t="s">
        <v>3746</v>
      </c>
      <c r="V1686" t="s">
        <v>3746</v>
      </c>
      <c r="W1686" t="s">
        <v>5420</v>
      </c>
      <c r="X1686">
        <v>7</v>
      </c>
      <c r="Y1686" t="s">
        <v>7205</v>
      </c>
      <c r="Z1686" t="s">
        <v>9074</v>
      </c>
      <c r="AA1686">
        <v>1.4507948308147329</v>
      </c>
      <c r="AB1686" t="str">
        <f>HYPERLINK("Melting_Curves/meltCurve_Q99538_LGMN.pdf", "Melting_Curves/meltCurve_Q99538_LGMN.pdf")</f>
        <v>Melting_Curves/meltCurve_Q99538_LGMN.pdf</v>
      </c>
    </row>
    <row r="1687" spans="1:28" x14ac:dyDescent="0.25">
      <c r="A1687" t="s">
        <v>1691</v>
      </c>
      <c r="B1687">
        <v>1</v>
      </c>
      <c r="C1687">
        <v>1.0067838971704</v>
      </c>
      <c r="D1687">
        <v>1.3308042488619101</v>
      </c>
      <c r="E1687">
        <v>1.6019518581332399</v>
      </c>
      <c r="F1687">
        <v>1.1175280430837</v>
      </c>
      <c r="G1687">
        <v>1.2405754411020899</v>
      </c>
      <c r="H1687">
        <v>0.77697938052307403</v>
      </c>
      <c r="I1687">
        <v>1.22910529917582</v>
      </c>
      <c r="J1687">
        <v>1.23078639650094</v>
      </c>
      <c r="K1687">
        <v>1.11571305305127</v>
      </c>
      <c r="L1687">
        <v>10869.845358852301</v>
      </c>
      <c r="M1687">
        <v>250</v>
      </c>
      <c r="O1687">
        <v>43.476597383803799</v>
      </c>
      <c r="P1687">
        <v>0.29531757319726698</v>
      </c>
      <c r="Q1687">
        <v>1.20543045928976</v>
      </c>
      <c r="R1687">
        <v>0.14846430168515301</v>
      </c>
      <c r="S1687" t="s">
        <v>3561</v>
      </c>
      <c r="T1687" t="s">
        <v>3746</v>
      </c>
      <c r="U1687" t="s">
        <v>3746</v>
      </c>
      <c r="V1687" t="s">
        <v>3746</v>
      </c>
      <c r="W1687" t="s">
        <v>5421</v>
      </c>
      <c r="X1687">
        <v>17</v>
      </c>
      <c r="Y1687" t="s">
        <v>7206</v>
      </c>
      <c r="Z1687" t="s">
        <v>9075</v>
      </c>
      <c r="AA1687">
        <v>1.1815890862431671</v>
      </c>
      <c r="AB1687" t="str">
        <f>HYPERLINK("Melting_Curves/meltCurve_Q99541_PLIN2.pdf", "Melting_Curves/meltCurve_Q99541_PLIN2.pdf")</f>
        <v>Melting_Curves/meltCurve_Q99541_PLIN2.pdf</v>
      </c>
    </row>
    <row r="1688" spans="1:28" x14ac:dyDescent="0.25">
      <c r="A1688" t="s">
        <v>1692</v>
      </c>
      <c r="B1688">
        <v>1</v>
      </c>
      <c r="C1688">
        <v>1.0732271554408801</v>
      </c>
      <c r="D1688">
        <v>1.8811282142539401</v>
      </c>
      <c r="E1688">
        <v>2.8361064151614901</v>
      </c>
      <c r="F1688">
        <v>2.0836373342824102</v>
      </c>
      <c r="G1688">
        <v>2.59079989322893</v>
      </c>
      <c r="H1688">
        <v>1.2143429130705601</v>
      </c>
      <c r="I1688">
        <v>1.9274846516594</v>
      </c>
      <c r="J1688">
        <v>1.9491057923302799</v>
      </c>
      <c r="K1688">
        <v>1.8305009342468199</v>
      </c>
      <c r="L1688">
        <v>10800.618723658201</v>
      </c>
      <c r="M1688">
        <v>250</v>
      </c>
      <c r="O1688">
        <v>43.199718316451701</v>
      </c>
      <c r="P1688">
        <v>0.72338448240407704</v>
      </c>
      <c r="Q1688">
        <v>1.5</v>
      </c>
      <c r="R1688">
        <v>-0.215134657231737</v>
      </c>
      <c r="S1688" t="s">
        <v>3562</v>
      </c>
      <c r="T1688" t="s">
        <v>3746</v>
      </c>
      <c r="U1688" t="s">
        <v>3746</v>
      </c>
      <c r="V1688" t="s">
        <v>3746</v>
      </c>
      <c r="W1688" t="s">
        <v>5422</v>
      </c>
      <c r="X1688">
        <v>9</v>
      </c>
      <c r="Y1688" t="s">
        <v>7207</v>
      </c>
      <c r="Z1688" t="s">
        <v>9076</v>
      </c>
      <c r="AA1688">
        <v>1.4465875085822819</v>
      </c>
      <c r="AB1688" t="str">
        <f>HYPERLINK("Melting_Curves/meltCurve_Q99574_SERPINI1.pdf", "Melting_Curves/meltCurve_Q99574_SERPINI1.pdf")</f>
        <v>Melting_Curves/meltCurve_Q99574_SERPINI1.pdf</v>
      </c>
    </row>
    <row r="1689" spans="1:28" x14ac:dyDescent="0.25">
      <c r="A1689" t="s">
        <v>1693</v>
      </c>
      <c r="B1689">
        <v>1</v>
      </c>
      <c r="C1689">
        <v>1.0049803197043901</v>
      </c>
      <c r="D1689">
        <v>1.1771226604546501</v>
      </c>
      <c r="E1689">
        <v>1.2892601815406901</v>
      </c>
      <c r="F1689">
        <v>0.95124106353923998</v>
      </c>
      <c r="G1689">
        <v>1.0296409350148601</v>
      </c>
      <c r="H1689">
        <v>0.69263394650172705</v>
      </c>
      <c r="I1689">
        <v>0.99309181460358298</v>
      </c>
      <c r="J1689">
        <v>1.0361474817254399</v>
      </c>
      <c r="K1689">
        <v>0.94256566792513496</v>
      </c>
      <c r="L1689">
        <v>4892.2236520455699</v>
      </c>
      <c r="M1689">
        <v>83.972870966686997</v>
      </c>
      <c r="O1689">
        <v>58.2265577641368</v>
      </c>
      <c r="P1689">
        <v>-2.94575788948735E-2</v>
      </c>
      <c r="Q1689">
        <v>0.91829679386681595</v>
      </c>
      <c r="R1689">
        <v>0.116475481248893</v>
      </c>
      <c r="S1689" t="s">
        <v>3563</v>
      </c>
      <c r="T1689" t="s">
        <v>3746</v>
      </c>
      <c r="U1689" t="s">
        <v>3746</v>
      </c>
      <c r="V1689" t="s">
        <v>3746</v>
      </c>
      <c r="W1689" t="s">
        <v>5423</v>
      </c>
      <c r="X1689">
        <v>4</v>
      </c>
      <c r="Y1689" t="s">
        <v>7208</v>
      </c>
      <c r="Z1689" t="s">
        <v>9077</v>
      </c>
      <c r="AA1689">
        <v>0.96809982036649012</v>
      </c>
      <c r="AB1689" t="str">
        <f>HYPERLINK("Melting_Curves/meltCurve_Q99584_S100A13.pdf", "Melting_Curves/meltCurve_Q99584_S100A13.pdf")</f>
        <v>Melting_Curves/meltCurve_Q99584_S100A13.pdf</v>
      </c>
    </row>
    <row r="1690" spans="1:28" x14ac:dyDescent="0.25">
      <c r="A1690" t="s">
        <v>1694</v>
      </c>
      <c r="B1690">
        <v>1</v>
      </c>
      <c r="C1690">
        <v>0.91020652499251697</v>
      </c>
      <c r="D1690">
        <v>1.25987728225082</v>
      </c>
      <c r="E1690">
        <v>1.55709368452559</v>
      </c>
      <c r="F1690">
        <v>1.32093684525591</v>
      </c>
      <c r="G1690">
        <v>1.37986381322957</v>
      </c>
      <c r="H1690">
        <v>0.63570038910505799</v>
      </c>
      <c r="I1690">
        <v>1.13790781203233</v>
      </c>
      <c r="J1690">
        <v>1.22074229272673</v>
      </c>
      <c r="K1690">
        <v>1.0105507333133801</v>
      </c>
      <c r="L1690">
        <v>11106.1838997904</v>
      </c>
      <c r="M1690">
        <v>250</v>
      </c>
      <c r="O1690">
        <v>44.4218927254081</v>
      </c>
      <c r="P1690">
        <v>0.267795097271044</v>
      </c>
      <c r="Q1690">
        <v>1.1903354410479099</v>
      </c>
      <c r="R1690">
        <v>0.134433725785091</v>
      </c>
      <c r="S1690" t="s">
        <v>3564</v>
      </c>
      <c r="T1690" t="s">
        <v>3746</v>
      </c>
      <c r="U1690" t="s">
        <v>3746</v>
      </c>
      <c r="V1690" t="s">
        <v>3746</v>
      </c>
      <c r="W1690" t="s">
        <v>5424</v>
      </c>
      <c r="X1690">
        <v>8</v>
      </c>
      <c r="Y1690" t="s">
        <v>7209</v>
      </c>
      <c r="Z1690" t="s">
        <v>9078</v>
      </c>
      <c r="AA1690">
        <v>1.162247801539062</v>
      </c>
      <c r="AB1690" t="str">
        <f>HYPERLINK("Melting_Curves/meltCurve_Q99650_OSMR.pdf", "Melting_Curves/meltCurve_Q99650_OSMR.pdf")</f>
        <v>Melting_Curves/meltCurve_Q99650_OSMR.pdf</v>
      </c>
    </row>
    <row r="1691" spans="1:28" x14ac:dyDescent="0.25">
      <c r="A1691" t="s">
        <v>1695</v>
      </c>
      <c r="B1691">
        <v>1</v>
      </c>
      <c r="C1691">
        <v>1.17194100644779</v>
      </c>
      <c r="D1691">
        <v>1.54880308308012</v>
      </c>
      <c r="E1691">
        <v>1.8260579559771699</v>
      </c>
      <c r="F1691">
        <v>1.0532868894982601</v>
      </c>
      <c r="G1691">
        <v>1.20410583265397</v>
      </c>
      <c r="H1691">
        <v>0.82702141851330302</v>
      </c>
      <c r="I1691">
        <v>1.0817460905654801</v>
      </c>
      <c r="J1691">
        <v>1.0697398651152401</v>
      </c>
      <c r="K1691">
        <v>1.05588082709553</v>
      </c>
      <c r="L1691">
        <v>10658.381480083501</v>
      </c>
      <c r="M1691">
        <v>250</v>
      </c>
      <c r="O1691">
        <v>42.630779899334001</v>
      </c>
      <c r="P1691">
        <v>0.30542802037132999</v>
      </c>
      <c r="Q1691">
        <v>1.2083302424871201</v>
      </c>
      <c r="R1691">
        <v>5.0691436822031498E-2</v>
      </c>
      <c r="S1691" t="s">
        <v>3565</v>
      </c>
      <c r="T1691" t="s">
        <v>3746</v>
      </c>
      <c r="U1691" t="s">
        <v>3746</v>
      </c>
      <c r="V1691" t="s">
        <v>3746</v>
      </c>
      <c r="W1691" t="s">
        <v>5425</v>
      </c>
      <c r="X1691">
        <v>4</v>
      </c>
      <c r="Y1691" t="s">
        <v>7210</v>
      </c>
      <c r="Z1691" t="s">
        <v>9079</v>
      </c>
      <c r="AA1691">
        <v>1.1900265517808479</v>
      </c>
      <c r="AB1691" t="str">
        <f>HYPERLINK("Melting_Curves/meltCurve_Q99674_CGREF1.pdf", "Melting_Curves/meltCurve_Q99674_CGREF1.pdf")</f>
        <v>Melting_Curves/meltCurve_Q99674_CGREF1.pdf</v>
      </c>
    </row>
    <row r="1692" spans="1:28" x14ac:dyDescent="0.25">
      <c r="A1692" t="s">
        <v>1696</v>
      </c>
      <c r="B1692">
        <v>1</v>
      </c>
      <c r="C1692">
        <v>1.0291867461678801</v>
      </c>
      <c r="D1692">
        <v>1.7434996868959101</v>
      </c>
      <c r="E1692">
        <v>2.3668763102725401</v>
      </c>
      <c r="F1692">
        <v>1.56443137575213</v>
      </c>
      <c r="G1692">
        <v>1.5694138146968299</v>
      </c>
      <c r="H1692">
        <v>1.0127147485638099</v>
      </c>
      <c r="I1692">
        <v>1.54096218247162</v>
      </c>
      <c r="J1692">
        <v>1.6318440469383899</v>
      </c>
      <c r="K1692">
        <v>1.4868904680225401</v>
      </c>
      <c r="L1692">
        <v>10844.2898612711</v>
      </c>
      <c r="M1692">
        <v>250</v>
      </c>
      <c r="O1692">
        <v>43.374384165979698</v>
      </c>
      <c r="P1692">
        <v>0.72047133461607404</v>
      </c>
      <c r="Q1692">
        <v>1.5</v>
      </c>
      <c r="R1692">
        <v>0.30454531806393798</v>
      </c>
      <c r="S1692" t="s">
        <v>3566</v>
      </c>
      <c r="T1692" t="s">
        <v>3746</v>
      </c>
      <c r="U1692" t="s">
        <v>3746</v>
      </c>
      <c r="V1692" t="s">
        <v>3746</v>
      </c>
      <c r="W1692" t="s">
        <v>5426</v>
      </c>
      <c r="X1692">
        <v>3</v>
      </c>
      <c r="Y1692" t="s">
        <v>7211</v>
      </c>
      <c r="Z1692" t="s">
        <v>9080</v>
      </c>
      <c r="AA1692">
        <v>1.4436759461270761</v>
      </c>
      <c r="AB1692" t="str">
        <f>HYPERLINK("Melting_Curves/meltCurve_Q99727_TIMP4.pdf", "Melting_Curves/meltCurve_Q99727_TIMP4.pdf")</f>
        <v>Melting_Curves/meltCurve_Q99727_TIMP4.pdf</v>
      </c>
    </row>
    <row r="1693" spans="1:28" x14ac:dyDescent="0.25">
      <c r="A1693" t="s">
        <v>1697</v>
      </c>
      <c r="B1693">
        <v>1</v>
      </c>
      <c r="C1693">
        <v>0.92916117580614799</v>
      </c>
      <c r="D1693">
        <v>1.24465481537262</v>
      </c>
      <c r="E1693">
        <v>1.50197670978673</v>
      </c>
      <c r="F1693">
        <v>1.0770244466557299</v>
      </c>
      <c r="G1693">
        <v>1.2171422424226099</v>
      </c>
      <c r="H1693">
        <v>0.83279993545437403</v>
      </c>
      <c r="I1693">
        <v>1.22773848263992</v>
      </c>
      <c r="J1693">
        <v>1.1701852997337501</v>
      </c>
      <c r="K1693">
        <v>1.08856197724767</v>
      </c>
      <c r="L1693">
        <v>11099.1707931644</v>
      </c>
      <c r="M1693">
        <v>250</v>
      </c>
      <c r="O1693">
        <v>44.393842126589398</v>
      </c>
      <c r="P1693">
        <v>0.23935048665762901</v>
      </c>
      <c r="Q1693">
        <v>1.1700110031016699</v>
      </c>
      <c r="R1693">
        <v>0.20291919621596299</v>
      </c>
      <c r="S1693" t="s">
        <v>3567</v>
      </c>
      <c r="T1693" t="s">
        <v>3746</v>
      </c>
      <c r="U1693" t="s">
        <v>3746</v>
      </c>
      <c r="V1693" t="s">
        <v>3746</v>
      </c>
      <c r="W1693" t="s">
        <v>5427</v>
      </c>
      <c r="X1693">
        <v>5</v>
      </c>
      <c r="Y1693" t="s">
        <v>7212</v>
      </c>
      <c r="Z1693" t="s">
        <v>9081</v>
      </c>
      <c r="AA1693">
        <v>1.1450816060612721</v>
      </c>
      <c r="AB1693" t="str">
        <f>HYPERLINK("Melting_Curves/meltCurve_Q99805_TM9SF2.pdf", "Melting_Curves/meltCurve_Q99805_TM9SF2.pdf")</f>
        <v>Melting_Curves/meltCurve_Q99805_TM9SF2.pdf</v>
      </c>
    </row>
    <row r="1694" spans="1:28" x14ac:dyDescent="0.25">
      <c r="A1694" t="s">
        <v>1698</v>
      </c>
      <c r="B1694">
        <v>1</v>
      </c>
      <c r="C1694">
        <v>0.91048830583714302</v>
      </c>
      <c r="D1694">
        <v>1.68225888380927</v>
      </c>
      <c r="E1694">
        <v>2.1217341372380099</v>
      </c>
      <c r="F1694">
        <v>1.5450208706022699</v>
      </c>
      <c r="G1694">
        <v>1.58914728682171</v>
      </c>
      <c r="H1694">
        <v>0.95675699551668503</v>
      </c>
      <c r="I1694">
        <v>1.7375825437840899</v>
      </c>
      <c r="J1694">
        <v>1.76220764592858</v>
      </c>
      <c r="K1694">
        <v>1.4360078623644501</v>
      </c>
      <c r="L1694">
        <v>11084.7117215495</v>
      </c>
      <c r="M1694">
        <v>250</v>
      </c>
      <c r="O1694">
        <v>44.336011849821098</v>
      </c>
      <c r="P1694">
        <v>0.70484467122432104</v>
      </c>
      <c r="Q1694">
        <v>1.5</v>
      </c>
      <c r="R1694">
        <v>0.40330831739492401</v>
      </c>
      <c r="S1694" t="s">
        <v>3568</v>
      </c>
      <c r="T1694" t="s">
        <v>3746</v>
      </c>
      <c r="U1694" t="s">
        <v>3746</v>
      </c>
      <c r="V1694" t="s">
        <v>3746</v>
      </c>
      <c r="W1694" t="s">
        <v>5428</v>
      </c>
      <c r="X1694">
        <v>6</v>
      </c>
      <c r="Y1694" t="s">
        <v>7213</v>
      </c>
      <c r="Z1694" t="s">
        <v>9082</v>
      </c>
      <c r="AA1694">
        <v>1.427646978236919</v>
      </c>
      <c r="AB1694" t="str">
        <f>HYPERLINK("Melting_Curves/meltCurve_Q99828_CIB1.pdf", "Melting_Curves/meltCurve_Q99828_CIB1.pdf")</f>
        <v>Melting_Curves/meltCurve_Q99828_CIB1.pdf</v>
      </c>
    </row>
    <row r="1695" spans="1:28" x14ac:dyDescent="0.25">
      <c r="A1695" t="s">
        <v>1699</v>
      </c>
      <c r="B1695">
        <v>1</v>
      </c>
      <c r="C1695">
        <v>1.05933540736733</v>
      </c>
      <c r="D1695">
        <v>1.63199422877497</v>
      </c>
      <c r="E1695">
        <v>2.2256188286216698</v>
      </c>
      <c r="F1695">
        <v>1.8016141395013301</v>
      </c>
      <c r="G1695">
        <v>2.2769737138734798</v>
      </c>
      <c r="H1695">
        <v>1.8175751837323599</v>
      </c>
      <c r="I1695">
        <v>2.9083818026060699</v>
      </c>
      <c r="J1695">
        <v>3.2522656567022898</v>
      </c>
      <c r="K1695">
        <v>3.0599215474097101</v>
      </c>
      <c r="L1695">
        <v>10811.0175360414</v>
      </c>
      <c r="M1695">
        <v>250</v>
      </c>
      <c r="O1695">
        <v>43.241302750546602</v>
      </c>
      <c r="P1695">
        <v>0.72268867969986506</v>
      </c>
      <c r="Q1695">
        <v>1.5</v>
      </c>
      <c r="R1695">
        <v>-0.56768974448286302</v>
      </c>
      <c r="S1695" t="s">
        <v>3569</v>
      </c>
      <c r="T1695" t="s">
        <v>3746</v>
      </c>
      <c r="U1695" t="s">
        <v>3746</v>
      </c>
      <c r="V1695" t="s">
        <v>3746</v>
      </c>
      <c r="W1695" t="s">
        <v>5429</v>
      </c>
      <c r="X1695">
        <v>10</v>
      </c>
      <c r="Y1695" t="s">
        <v>7214</v>
      </c>
      <c r="Z1695" t="s">
        <v>9083</v>
      </c>
      <c r="AA1695">
        <v>1.4458942179250369</v>
      </c>
      <c r="AB1695" t="str">
        <f>HYPERLINK("Melting_Curves/meltCurve_Q99832_3_CCT7.pdf", "Melting_Curves/meltCurve_Q99832_3_CCT7.pdf")</f>
        <v>Melting_Curves/meltCurve_Q99832_3_CCT7.pdf</v>
      </c>
    </row>
    <row r="1696" spans="1:28" x14ac:dyDescent="0.25">
      <c r="A1696" t="s">
        <v>1700</v>
      </c>
      <c r="B1696">
        <v>1</v>
      </c>
      <c r="C1696">
        <v>1.2332202111613899</v>
      </c>
      <c r="D1696">
        <v>9.3672699849170407</v>
      </c>
      <c r="E1696">
        <v>9.3469079939668198</v>
      </c>
      <c r="F1696">
        <v>6.0316742081447998</v>
      </c>
      <c r="G1696">
        <v>6.7691050779286099</v>
      </c>
      <c r="H1696">
        <v>3.9925842131724498</v>
      </c>
      <c r="I1696">
        <v>5.8099547511312197</v>
      </c>
      <c r="J1696">
        <v>6.0363247863247897</v>
      </c>
      <c r="K1696">
        <v>5.7713675213675204</v>
      </c>
      <c r="L1696">
        <v>1.0000000000000001E-5</v>
      </c>
      <c r="M1696">
        <v>34.295312890941801</v>
      </c>
      <c r="Q1696">
        <v>1.5</v>
      </c>
      <c r="R1696">
        <v>-2.2367495377467899</v>
      </c>
      <c r="S1696" t="s">
        <v>3570</v>
      </c>
      <c r="T1696" t="s">
        <v>3746</v>
      </c>
      <c r="U1696" t="s">
        <v>3746</v>
      </c>
      <c r="V1696" t="s">
        <v>3746</v>
      </c>
      <c r="W1696" t="s">
        <v>5430</v>
      </c>
      <c r="X1696">
        <v>3</v>
      </c>
      <c r="Y1696" t="s">
        <v>7215</v>
      </c>
      <c r="Z1696" t="s">
        <v>9084</v>
      </c>
      <c r="AA1696">
        <v>1.4999999999999989</v>
      </c>
      <c r="AB1696" t="str">
        <f>HYPERLINK("Melting_Curves/meltCurve_Q99878_HIST1H2AJ.pdf", "Melting_Curves/meltCurve_Q99878_HIST1H2AJ.pdf")</f>
        <v>Melting_Curves/meltCurve_Q99878_HIST1H2AJ.pdf</v>
      </c>
    </row>
    <row r="1697" spans="1:28" x14ac:dyDescent="0.25">
      <c r="A1697" t="s">
        <v>1701</v>
      </c>
      <c r="B1697">
        <v>1</v>
      </c>
      <c r="C1697">
        <v>1.1030637652917601</v>
      </c>
      <c r="D1697">
        <v>1.5890169968604499</v>
      </c>
      <c r="E1697">
        <v>1.6918101115080699</v>
      </c>
      <c r="F1697">
        <v>1.41276929739093</v>
      </c>
      <c r="G1697">
        <v>1.47028255927249</v>
      </c>
      <c r="H1697">
        <v>0.89474396449063498</v>
      </c>
      <c r="I1697">
        <v>1.33482191187615</v>
      </c>
      <c r="J1697">
        <v>1.264939915557</v>
      </c>
      <c r="K1697">
        <v>1.20271733246725</v>
      </c>
      <c r="L1697">
        <v>10763.791983993</v>
      </c>
      <c r="M1697">
        <v>250</v>
      </c>
      <c r="O1697">
        <v>43.052412850306403</v>
      </c>
      <c r="P1697">
        <v>0.51918948444761803</v>
      </c>
      <c r="Q1697">
        <v>1.3576377587674899</v>
      </c>
      <c r="R1697">
        <v>0.26601256955386199</v>
      </c>
      <c r="S1697" t="s">
        <v>3571</v>
      </c>
      <c r="T1697" t="s">
        <v>3746</v>
      </c>
      <c r="U1697" t="s">
        <v>3746</v>
      </c>
      <c r="V1697" t="s">
        <v>3746</v>
      </c>
      <c r="W1697" t="s">
        <v>5431</v>
      </c>
      <c r="X1697">
        <v>2</v>
      </c>
      <c r="Y1697" t="s">
        <v>7216</v>
      </c>
      <c r="Z1697" t="s">
        <v>9085</v>
      </c>
      <c r="AA1697">
        <v>1.321189288129007</v>
      </c>
      <c r="AB1697" t="str">
        <f>HYPERLINK("Melting_Curves/meltCurve_Q99941_2_ATF6B.pdf", "Melting_Curves/meltCurve_Q99941_2_ATF6B.pdf")</f>
        <v>Melting_Curves/meltCurve_Q99941_2_ATF6B.pdf</v>
      </c>
    </row>
    <row r="1698" spans="1:28" x14ac:dyDescent="0.25">
      <c r="A1698" t="s">
        <v>1702</v>
      </c>
      <c r="B1698">
        <v>1</v>
      </c>
      <c r="C1698">
        <v>1.1226134437958999</v>
      </c>
      <c r="D1698">
        <v>1.55420824703446</v>
      </c>
      <c r="E1698">
        <v>2.9583882508002302</v>
      </c>
      <c r="F1698">
        <v>1.62948597250988</v>
      </c>
      <c r="G1698">
        <v>2.20033891922425</v>
      </c>
      <c r="H1698">
        <v>1.92935417058934</v>
      </c>
      <c r="I1698">
        <v>2.39533044624365</v>
      </c>
      <c r="J1698">
        <v>2.2862737714178101</v>
      </c>
      <c r="K1698">
        <v>1.5748446620222201</v>
      </c>
      <c r="L1698">
        <v>10773.2295927334</v>
      </c>
      <c r="M1698">
        <v>250</v>
      </c>
      <c r="O1698">
        <v>43.090160757674703</v>
      </c>
      <c r="P1698">
        <v>0.72522356662703602</v>
      </c>
      <c r="Q1698">
        <v>1.5</v>
      </c>
      <c r="R1698">
        <v>-0.28442840910747103</v>
      </c>
      <c r="S1698" t="s">
        <v>3572</v>
      </c>
      <c r="T1698" t="s">
        <v>3746</v>
      </c>
      <c r="U1698" t="s">
        <v>3746</v>
      </c>
      <c r="V1698" t="s">
        <v>3746</v>
      </c>
      <c r="W1698" t="s">
        <v>5432</v>
      </c>
      <c r="X1698">
        <v>1</v>
      </c>
      <c r="Y1698" t="s">
        <v>7217</v>
      </c>
      <c r="Z1698" t="s">
        <v>9086</v>
      </c>
      <c r="AA1698">
        <v>1.4484135467740169</v>
      </c>
      <c r="AB1698" t="str">
        <f>HYPERLINK("Melting_Curves/meltCurve_Q9BPX5_ARPC5L.pdf", "Melting_Curves/meltCurve_Q9BPX5_ARPC5L.pdf")</f>
        <v>Melting_Curves/meltCurve_Q9BPX5_ARPC5L.pdf</v>
      </c>
    </row>
    <row r="1699" spans="1:28" x14ac:dyDescent="0.25">
      <c r="A1699" t="s">
        <v>1703</v>
      </c>
      <c r="B1699">
        <v>1</v>
      </c>
      <c r="C1699">
        <v>0.96043912175648705</v>
      </c>
      <c r="D1699">
        <v>1.34678642714571</v>
      </c>
      <c r="E1699">
        <v>1.55956087824351</v>
      </c>
      <c r="F1699">
        <v>1.3049500998004</v>
      </c>
      <c r="G1699">
        <v>1.4528942115768499</v>
      </c>
      <c r="H1699">
        <v>1.30646706586826</v>
      </c>
      <c r="I1699">
        <v>2.3450698602794402</v>
      </c>
      <c r="J1699">
        <v>2.5868662674650702</v>
      </c>
      <c r="K1699">
        <v>2.4482634730538901</v>
      </c>
      <c r="L1699">
        <v>11462.4236949888</v>
      </c>
      <c r="M1699">
        <v>250</v>
      </c>
      <c r="O1699">
        <v>45.846769136305497</v>
      </c>
      <c r="P1699">
        <v>0.68161849475412395</v>
      </c>
      <c r="Q1699">
        <v>1.5</v>
      </c>
      <c r="R1699">
        <v>0.11965129746674601</v>
      </c>
      <c r="S1699" t="s">
        <v>3573</v>
      </c>
      <c r="T1699" t="s">
        <v>3746</v>
      </c>
      <c r="U1699" t="s">
        <v>3746</v>
      </c>
      <c r="V1699" t="s">
        <v>3746</v>
      </c>
      <c r="W1699" t="s">
        <v>5433</v>
      </c>
      <c r="X1699">
        <v>7</v>
      </c>
      <c r="Y1699" t="s">
        <v>7218</v>
      </c>
      <c r="Z1699" t="s">
        <v>9087</v>
      </c>
      <c r="AA1699">
        <v>1.4024648542503659</v>
      </c>
      <c r="AB1699" t="str">
        <f>HYPERLINK("Melting_Curves/meltCurve_Q9BR76_CORO1B.pdf", "Melting_Curves/meltCurve_Q9BR76_CORO1B.pdf")</f>
        <v>Melting_Curves/meltCurve_Q9BR76_CORO1B.pdf</v>
      </c>
    </row>
    <row r="1700" spans="1:28" x14ac:dyDescent="0.25">
      <c r="A1700" t="s">
        <v>1704</v>
      </c>
      <c r="B1700">
        <v>1</v>
      </c>
      <c r="C1700">
        <v>0.98354519774011295</v>
      </c>
      <c r="D1700">
        <v>1.9360169491525401</v>
      </c>
      <c r="E1700">
        <v>3.3990112994350299</v>
      </c>
      <c r="F1700">
        <v>3.0992937853107301</v>
      </c>
      <c r="G1700">
        <v>4.2792372881355902</v>
      </c>
      <c r="H1700">
        <v>2.4301553672316398</v>
      </c>
      <c r="I1700">
        <v>3.8477401129943498</v>
      </c>
      <c r="J1700">
        <v>3.9004237288135601</v>
      </c>
      <c r="K1700">
        <v>3.6038841807909598</v>
      </c>
      <c r="L1700">
        <v>11028.1906588908</v>
      </c>
      <c r="M1700">
        <v>250</v>
      </c>
      <c r="O1700">
        <v>44.109939725831801</v>
      </c>
      <c r="P1700">
        <v>0.70845710153146402</v>
      </c>
      <c r="Q1700">
        <v>1.5</v>
      </c>
      <c r="R1700">
        <v>-1.3588191890388299</v>
      </c>
      <c r="S1700" t="s">
        <v>3574</v>
      </c>
      <c r="T1700" t="s">
        <v>3746</v>
      </c>
      <c r="U1700" t="s">
        <v>3746</v>
      </c>
      <c r="V1700" t="s">
        <v>3746</v>
      </c>
      <c r="W1700" t="s">
        <v>5434</v>
      </c>
      <c r="X1700">
        <v>2</v>
      </c>
      <c r="Y1700" t="s">
        <v>7219</v>
      </c>
      <c r="Z1700" t="s">
        <v>9088</v>
      </c>
      <c r="AA1700">
        <v>1.4314152474679811</v>
      </c>
      <c r="AB1700" t="str">
        <f>HYPERLINK("Melting_Curves/meltCurve_Q9BRA2_TXNDC17.pdf", "Melting_Curves/meltCurve_Q9BRA2_TXNDC17.pdf")</f>
        <v>Melting_Curves/meltCurve_Q9BRA2_TXNDC17.pdf</v>
      </c>
    </row>
    <row r="1701" spans="1:28" x14ac:dyDescent="0.25">
      <c r="A1701" t="s">
        <v>1705</v>
      </c>
      <c r="B1701">
        <v>1</v>
      </c>
      <c r="C1701">
        <v>1.08140485384897</v>
      </c>
      <c r="D1701">
        <v>1.8922118555684</v>
      </c>
      <c r="E1701">
        <v>2.7471319446401901</v>
      </c>
      <c r="F1701">
        <v>1.6393438002085901</v>
      </c>
      <c r="G1701">
        <v>2.119063054937</v>
      </c>
      <c r="H1701">
        <v>1.39986470107394</v>
      </c>
      <c r="I1701">
        <v>1.8238013360768901</v>
      </c>
      <c r="J1701">
        <v>1.7702173238999901</v>
      </c>
      <c r="K1701">
        <v>1.6294218789638399</v>
      </c>
      <c r="L1701">
        <v>10795.247058560401</v>
      </c>
      <c r="M1701">
        <v>250</v>
      </c>
      <c r="O1701">
        <v>43.178201204854901</v>
      </c>
      <c r="P1701">
        <v>0.72374443215984097</v>
      </c>
      <c r="Q1701">
        <v>1.5</v>
      </c>
      <c r="R1701">
        <v>-7.3108015414187202E-3</v>
      </c>
      <c r="S1701" t="s">
        <v>3575</v>
      </c>
      <c r="T1701" t="s">
        <v>3746</v>
      </c>
      <c r="U1701" t="s">
        <v>3746</v>
      </c>
      <c r="V1701" t="s">
        <v>3746</v>
      </c>
      <c r="W1701" t="s">
        <v>5435</v>
      </c>
      <c r="X1701">
        <v>11</v>
      </c>
      <c r="Y1701" t="s">
        <v>7220</v>
      </c>
      <c r="Z1701" t="s">
        <v>9089</v>
      </c>
      <c r="AA1701">
        <v>1.446945638442461</v>
      </c>
      <c r="AB1701" t="str">
        <f>HYPERLINK("Melting_Curves/meltCurve_Q9BRK5_SDF4.pdf", "Melting_Curves/meltCurve_Q9BRK5_SDF4.pdf")</f>
        <v>Melting_Curves/meltCurve_Q9BRK5_SDF4.pdf</v>
      </c>
    </row>
    <row r="1702" spans="1:28" x14ac:dyDescent="0.25">
      <c r="A1702" t="s">
        <v>1706</v>
      </c>
      <c r="B1702">
        <v>1</v>
      </c>
      <c r="C1702">
        <v>1.0319308048312399</v>
      </c>
      <c r="D1702">
        <v>1.4763235128118299</v>
      </c>
      <c r="E1702">
        <v>2.18026865334688</v>
      </c>
      <c r="F1702">
        <v>2.0218139744892198</v>
      </c>
      <c r="G1702">
        <v>2.6405350491026098</v>
      </c>
      <c r="H1702">
        <v>1.5752342250818401</v>
      </c>
      <c r="I1702">
        <v>2.3453550062083801</v>
      </c>
      <c r="J1702">
        <v>2.42027881250706</v>
      </c>
      <c r="K1702">
        <v>2.12354667569703</v>
      </c>
      <c r="L1702">
        <v>3713.7793819891099</v>
      </c>
      <c r="M1702">
        <v>83.852196421772902</v>
      </c>
      <c r="O1702">
        <v>44.2644410512154</v>
      </c>
      <c r="P1702">
        <v>0.23679348446847701</v>
      </c>
      <c r="Q1702">
        <v>1.5</v>
      </c>
      <c r="R1702">
        <v>-0.32803791634468099</v>
      </c>
      <c r="S1702" t="s">
        <v>3576</v>
      </c>
      <c r="T1702" t="s">
        <v>3746</v>
      </c>
      <c r="U1702" t="s">
        <v>3746</v>
      </c>
      <c r="V1702" t="s">
        <v>3746</v>
      </c>
      <c r="W1702" t="s">
        <v>5436</v>
      </c>
      <c r="X1702">
        <v>2</v>
      </c>
      <c r="Y1702" t="s">
        <v>7221</v>
      </c>
      <c r="Z1702" t="s">
        <v>9090</v>
      </c>
      <c r="AA1702">
        <v>1.4281598986127551</v>
      </c>
      <c r="AB1702" t="str">
        <f>HYPERLINK("Melting_Curves/meltCurve_Q9BS26_ERP44.pdf", "Melting_Curves/meltCurve_Q9BS26_ERP44.pdf")</f>
        <v>Melting_Curves/meltCurve_Q9BS26_ERP44.pdf</v>
      </c>
    </row>
    <row r="1703" spans="1:28" x14ac:dyDescent="0.25">
      <c r="A1703" t="s">
        <v>1707</v>
      </c>
      <c r="B1703">
        <v>1</v>
      </c>
      <c r="C1703">
        <v>1.03443534405452</v>
      </c>
      <c r="D1703">
        <v>1.3897291803670699</v>
      </c>
      <c r="E1703">
        <v>1.85980749686136</v>
      </c>
      <c r="F1703">
        <v>1.4585101931009701</v>
      </c>
      <c r="G1703">
        <v>1.8590004184850799</v>
      </c>
      <c r="H1703">
        <v>1.38159861302086</v>
      </c>
      <c r="I1703">
        <v>2.1114963830932001</v>
      </c>
      <c r="J1703">
        <v>2.1958211275183799</v>
      </c>
      <c r="K1703">
        <v>2.1430621151431799</v>
      </c>
      <c r="L1703">
        <v>2988.5073166936299</v>
      </c>
      <c r="M1703">
        <v>66.309014938541196</v>
      </c>
      <c r="O1703">
        <v>45.028458261072203</v>
      </c>
      <c r="P1703">
        <v>0.18407535033788799</v>
      </c>
      <c r="Q1703">
        <v>1.5</v>
      </c>
      <c r="R1703">
        <v>0.14982883928035401</v>
      </c>
      <c r="S1703" t="s">
        <v>3577</v>
      </c>
      <c r="T1703" t="s">
        <v>3746</v>
      </c>
      <c r="U1703" t="s">
        <v>3746</v>
      </c>
      <c r="V1703" t="s">
        <v>3746</v>
      </c>
      <c r="W1703" t="s">
        <v>5437</v>
      </c>
      <c r="X1703">
        <v>2</v>
      </c>
      <c r="Y1703" t="s">
        <v>7222</v>
      </c>
      <c r="Z1703" t="s">
        <v>9091</v>
      </c>
      <c r="AA1703">
        <v>1.414944288556701</v>
      </c>
      <c r="AB1703" t="str">
        <f>HYPERLINK("Melting_Curves/meltCurve_Q9BS40_LXN.pdf", "Melting_Curves/meltCurve_Q9BS40_LXN.pdf")</f>
        <v>Melting_Curves/meltCurve_Q9BS40_LXN.pdf</v>
      </c>
    </row>
    <row r="1704" spans="1:28" x14ac:dyDescent="0.25">
      <c r="A1704" t="s">
        <v>1708</v>
      </c>
      <c r="B1704">
        <v>1</v>
      </c>
      <c r="C1704">
        <v>1.0774444333698801</v>
      </c>
      <c r="D1704">
        <v>1.5277583972889499</v>
      </c>
      <c r="E1704">
        <v>1.7445430080733599</v>
      </c>
      <c r="F1704">
        <v>1.16615169939201</v>
      </c>
      <c r="G1704">
        <v>1.5293531346556399</v>
      </c>
      <c r="H1704">
        <v>0.76157679657131505</v>
      </c>
      <c r="I1704">
        <v>1.19326223462574</v>
      </c>
      <c r="J1704">
        <v>1.17562045250673</v>
      </c>
      <c r="K1704">
        <v>1.01166151699392</v>
      </c>
      <c r="L1704">
        <v>10762.6566009903</v>
      </c>
      <c r="M1704">
        <v>250</v>
      </c>
      <c r="O1704">
        <v>43.047871561505502</v>
      </c>
      <c r="P1704">
        <v>0.38291803315100398</v>
      </c>
      <c r="Q1704">
        <v>1.26374089995887</v>
      </c>
      <c r="R1704">
        <v>0.10588798212075699</v>
      </c>
      <c r="S1704" t="s">
        <v>3578</v>
      </c>
      <c r="T1704" t="s">
        <v>3746</v>
      </c>
      <c r="U1704" t="s">
        <v>3746</v>
      </c>
      <c r="V1704" t="s">
        <v>3746</v>
      </c>
      <c r="W1704" t="s">
        <v>5438</v>
      </c>
      <c r="X1704">
        <v>1</v>
      </c>
      <c r="Y1704" t="s">
        <v>7223</v>
      </c>
      <c r="Z1704" t="s">
        <v>9092</v>
      </c>
      <c r="AA1704">
        <v>1.236901808381258</v>
      </c>
      <c r="AB1704" t="str">
        <f>HYPERLINK("Melting_Curves/meltCurve_Q9BSG0_PRADC1.pdf", "Melting_Curves/meltCurve_Q9BSG0_PRADC1.pdf")</f>
        <v>Melting_Curves/meltCurve_Q9BSG0_PRADC1.pdf</v>
      </c>
    </row>
    <row r="1705" spans="1:28" x14ac:dyDescent="0.25">
      <c r="A1705" t="s">
        <v>1709</v>
      </c>
      <c r="B1705">
        <v>1</v>
      </c>
      <c r="C1705">
        <v>1.0511286374761999</v>
      </c>
      <c r="D1705">
        <v>1.93527332064183</v>
      </c>
      <c r="E1705">
        <v>2.2056930468679199</v>
      </c>
      <c r="F1705">
        <v>1.78324721240141</v>
      </c>
      <c r="G1705">
        <v>2.3688695494515501</v>
      </c>
      <c r="H1705">
        <v>0.66727404587072803</v>
      </c>
      <c r="I1705">
        <v>2.19626507116309</v>
      </c>
      <c r="J1705">
        <v>2.0937358353730402</v>
      </c>
      <c r="K1705">
        <v>1.5378478832381499</v>
      </c>
      <c r="L1705">
        <v>10818.1940057786</v>
      </c>
      <c r="M1705">
        <v>250</v>
      </c>
      <c r="O1705">
        <v>43.270006611110801</v>
      </c>
      <c r="P1705">
        <v>0.72220926941749697</v>
      </c>
      <c r="Q1705">
        <v>1.5</v>
      </c>
      <c r="R1705">
        <v>3.5723227395619297E-2</v>
      </c>
      <c r="S1705" t="s">
        <v>3579</v>
      </c>
      <c r="T1705" t="s">
        <v>3746</v>
      </c>
      <c r="U1705" t="s">
        <v>3746</v>
      </c>
      <c r="V1705" t="s">
        <v>3746</v>
      </c>
      <c r="W1705" t="s">
        <v>5439</v>
      </c>
      <c r="X1705">
        <v>1</v>
      </c>
      <c r="Y1705" t="s">
        <v>7224</v>
      </c>
      <c r="Z1705" t="s">
        <v>9093</v>
      </c>
      <c r="AA1705">
        <v>1.44541576142067</v>
      </c>
      <c r="AB1705" t="str">
        <f>HYPERLINK("Melting_Curves/meltCurve_Q9BSH5_HDHD3.pdf", "Melting_Curves/meltCurve_Q9BSH5_HDHD3.pdf")</f>
        <v>Melting_Curves/meltCurve_Q9BSH5_HDHD3.pdf</v>
      </c>
    </row>
    <row r="1706" spans="1:28" x14ac:dyDescent="0.25">
      <c r="A1706" t="s">
        <v>1710</v>
      </c>
      <c r="B1706">
        <v>1</v>
      </c>
      <c r="C1706">
        <v>1.1666666666666701</v>
      </c>
      <c r="D1706">
        <v>1.4260504201680699</v>
      </c>
      <c r="E1706">
        <v>1.4251540616246501</v>
      </c>
      <c r="F1706">
        <v>1.01243697478992</v>
      </c>
      <c r="G1706">
        <v>0.89742296918767495</v>
      </c>
      <c r="H1706">
        <v>0.53810084033613403</v>
      </c>
      <c r="I1706">
        <v>0.98459383753501395</v>
      </c>
      <c r="J1706">
        <v>0.99266106442576996</v>
      </c>
      <c r="K1706">
        <v>0.70341736694677903</v>
      </c>
      <c r="L1706">
        <v>14244.2471702078</v>
      </c>
      <c r="M1706">
        <v>250</v>
      </c>
      <c r="O1706">
        <v>56.9733376335546</v>
      </c>
      <c r="P1706">
        <v>-0.21425229722727099</v>
      </c>
      <c r="Q1706">
        <v>0.80469328791691097</v>
      </c>
      <c r="R1706">
        <v>0.22987386941599999</v>
      </c>
      <c r="S1706" t="s">
        <v>3580</v>
      </c>
      <c r="T1706" t="s">
        <v>3746</v>
      </c>
      <c r="U1706" t="s">
        <v>3746</v>
      </c>
      <c r="V1706" t="s">
        <v>3746</v>
      </c>
      <c r="W1706" t="s">
        <v>5440</v>
      </c>
      <c r="X1706">
        <v>2</v>
      </c>
      <c r="Y1706" t="s">
        <v>7225</v>
      </c>
      <c r="Z1706" t="s">
        <v>9094</v>
      </c>
      <c r="AA1706">
        <v>0.91523681204072804</v>
      </c>
      <c r="AB1706" t="str">
        <f>HYPERLINK("Melting_Curves/meltCurve_Q9BSJ8_ESYT1.pdf", "Melting_Curves/meltCurve_Q9BSJ8_ESYT1.pdf")</f>
        <v>Melting_Curves/meltCurve_Q9BSJ8_ESYT1.pdf</v>
      </c>
    </row>
    <row r="1707" spans="1:28" x14ac:dyDescent="0.25">
      <c r="A1707" t="s">
        <v>1711</v>
      </c>
      <c r="B1707">
        <v>1</v>
      </c>
      <c r="C1707">
        <v>1.1128309431880901</v>
      </c>
      <c r="D1707">
        <v>1.48934776613348</v>
      </c>
      <c r="E1707">
        <v>2.0883204633204602</v>
      </c>
      <c r="F1707">
        <v>2.4420504688361802</v>
      </c>
      <c r="G1707">
        <v>2.6357211803640399</v>
      </c>
      <c r="H1707">
        <v>1.6128654164368501</v>
      </c>
      <c r="I1707">
        <v>2.28571428571429</v>
      </c>
      <c r="J1707">
        <v>2.50237865416437</v>
      </c>
      <c r="K1707">
        <v>2.3044332597903998</v>
      </c>
      <c r="L1707">
        <v>3460.5335914653201</v>
      </c>
      <c r="M1707">
        <v>79.430453271106003</v>
      </c>
      <c r="O1707">
        <v>43.539235588091401</v>
      </c>
      <c r="P1707">
        <v>0.228042724296109</v>
      </c>
      <c r="Q1707">
        <v>1.5</v>
      </c>
      <c r="R1707">
        <v>-0.49980005409432199</v>
      </c>
      <c r="S1707" t="s">
        <v>3581</v>
      </c>
      <c r="T1707" t="s">
        <v>3746</v>
      </c>
      <c r="U1707" t="s">
        <v>3746</v>
      </c>
      <c r="V1707" t="s">
        <v>3746</v>
      </c>
      <c r="W1707" t="s">
        <v>5441</v>
      </c>
      <c r="X1707">
        <v>3</v>
      </c>
      <c r="Y1707" t="s">
        <v>7226</v>
      </c>
      <c r="Z1707" t="s">
        <v>9095</v>
      </c>
      <c r="AA1707">
        <v>1.4401669416912599</v>
      </c>
      <c r="AB1707" t="str">
        <f>HYPERLINK("Melting_Curves/meltCurve_Q9BTY2_FUCA2.pdf", "Melting_Curves/meltCurve_Q9BTY2_FUCA2.pdf")</f>
        <v>Melting_Curves/meltCurve_Q9BTY2_FUCA2.pdf</v>
      </c>
    </row>
    <row r="1708" spans="1:28" x14ac:dyDescent="0.25">
      <c r="A1708" t="s">
        <v>1712</v>
      </c>
      <c r="B1708">
        <v>1</v>
      </c>
      <c r="C1708">
        <v>1.11362730774339</v>
      </c>
      <c r="D1708">
        <v>1.6223934121397301</v>
      </c>
      <c r="E1708">
        <v>2.25322087926684</v>
      </c>
      <c r="F1708">
        <v>1.7606587860273599</v>
      </c>
      <c r="G1708">
        <v>1.83258068800638</v>
      </c>
      <c r="H1708">
        <v>1.5466861468986599</v>
      </c>
      <c r="I1708">
        <v>2.2174923628635899</v>
      </c>
      <c r="J1708">
        <v>2.1060565812192902</v>
      </c>
      <c r="K1708">
        <v>2.0229778190994798</v>
      </c>
      <c r="L1708">
        <v>10777.504351875799</v>
      </c>
      <c r="M1708">
        <v>250</v>
      </c>
      <c r="O1708">
        <v>43.107258668583903</v>
      </c>
      <c r="P1708">
        <v>0.72493591598265905</v>
      </c>
      <c r="Q1708">
        <v>1.5</v>
      </c>
      <c r="R1708">
        <v>-0.12528885266555601</v>
      </c>
      <c r="S1708" t="s">
        <v>3582</v>
      </c>
      <c r="T1708" t="s">
        <v>3746</v>
      </c>
      <c r="U1708" t="s">
        <v>3746</v>
      </c>
      <c r="V1708" t="s">
        <v>3746</v>
      </c>
      <c r="W1708" t="s">
        <v>5442</v>
      </c>
      <c r="X1708">
        <v>6</v>
      </c>
      <c r="Y1708" t="s">
        <v>7227</v>
      </c>
      <c r="Z1708" t="s">
        <v>9096</v>
      </c>
      <c r="AA1708">
        <v>1.448128547827924</v>
      </c>
      <c r="AB1708" t="str">
        <f>HYPERLINK("Melting_Curves/meltCurve_Q9BUB1_PRKAR2A.pdf", "Melting_Curves/meltCurve_Q9BUB1_PRKAR2A.pdf")</f>
        <v>Melting_Curves/meltCurve_Q9BUB1_PRKAR2A.pdf</v>
      </c>
    </row>
    <row r="1709" spans="1:28" x14ac:dyDescent="0.25">
      <c r="A1709" t="s">
        <v>1713</v>
      </c>
      <c r="B1709">
        <v>1</v>
      </c>
      <c r="C1709">
        <v>0.92985643129211804</v>
      </c>
      <c r="D1709">
        <v>1.3300175798417799</v>
      </c>
      <c r="E1709">
        <v>1.51684734837386</v>
      </c>
      <c r="F1709">
        <v>1.2230149428655099</v>
      </c>
      <c r="G1709">
        <v>1.28678581892763</v>
      </c>
      <c r="H1709">
        <v>1.0887782009961899</v>
      </c>
      <c r="I1709">
        <v>1.2694403750366201</v>
      </c>
      <c r="J1709">
        <v>1.4673307940228499</v>
      </c>
      <c r="K1709">
        <v>1.35909756812189</v>
      </c>
      <c r="L1709">
        <v>11138.930278580399</v>
      </c>
      <c r="M1709">
        <v>250</v>
      </c>
      <c r="O1709">
        <v>44.552869962129201</v>
      </c>
      <c r="P1709">
        <v>0.4456479273883</v>
      </c>
      <c r="Q1709">
        <v>1.31767830530841</v>
      </c>
      <c r="R1709">
        <v>0.59559725523936202</v>
      </c>
      <c r="S1709" t="s">
        <v>3583</v>
      </c>
      <c r="T1709" t="s">
        <v>3746</v>
      </c>
      <c r="U1709" t="s">
        <v>3746</v>
      </c>
      <c r="V1709" t="s">
        <v>3746</v>
      </c>
      <c r="W1709" t="s">
        <v>5443</v>
      </c>
      <c r="X1709">
        <v>5</v>
      </c>
      <c r="Y1709" t="s">
        <v>7228</v>
      </c>
      <c r="Z1709" t="s">
        <v>9097</v>
      </c>
      <c r="AA1709">
        <v>1.269411672479466</v>
      </c>
      <c r="AB1709" t="str">
        <f>HYPERLINK("Melting_Curves/meltCurve_Q9BUF5_TUBB6.pdf", "Melting_Curves/meltCurve_Q9BUF5_TUBB6.pdf")</f>
        <v>Melting_Curves/meltCurve_Q9BUF5_TUBB6.pdf</v>
      </c>
    </row>
    <row r="1710" spans="1:28" x14ac:dyDescent="0.25">
      <c r="A1710" t="s">
        <v>1714</v>
      </c>
      <c r="B1710">
        <v>1</v>
      </c>
      <c r="C1710">
        <v>0.83244585562323203</v>
      </c>
      <c r="D1710">
        <v>1.2490579557949599</v>
      </c>
      <c r="E1710">
        <v>1.20652079910058</v>
      </c>
      <c r="F1710">
        <v>0.84643135123114399</v>
      </c>
      <c r="G1710">
        <v>0.51329981097342503</v>
      </c>
      <c r="H1710">
        <v>0.53382093129563501</v>
      </c>
      <c r="I1710">
        <v>0.70652697643962903</v>
      </c>
      <c r="J1710">
        <v>0.86154112254605197</v>
      </c>
      <c r="K1710">
        <v>0.75347475321530499</v>
      </c>
      <c r="L1710">
        <v>13256.2223674247</v>
      </c>
      <c r="M1710">
        <v>250</v>
      </c>
      <c r="O1710">
        <v>53.021493593363999</v>
      </c>
      <c r="P1710">
        <v>-0.38459317828281903</v>
      </c>
      <c r="Q1710">
        <v>0.67373270834059795</v>
      </c>
      <c r="R1710">
        <v>0.60043924461923204</v>
      </c>
      <c r="S1710" t="s">
        <v>3584</v>
      </c>
      <c r="T1710" t="s">
        <v>3746</v>
      </c>
      <c r="U1710" t="s">
        <v>3746</v>
      </c>
      <c r="V1710" t="s">
        <v>3746</v>
      </c>
      <c r="W1710" t="s">
        <v>5444</v>
      </c>
      <c r="X1710">
        <v>1</v>
      </c>
      <c r="Y1710" t="s">
        <v>7229</v>
      </c>
      <c r="Z1710" t="s">
        <v>9098</v>
      </c>
      <c r="AA1710">
        <v>0.81541625045655719</v>
      </c>
      <c r="AB1710" t="str">
        <f>HYPERLINK("Melting_Curves/meltCurve_Q9BUF7_CRB3.pdf", "Melting_Curves/meltCurve_Q9BUF7_CRB3.pdf")</f>
        <v>Melting_Curves/meltCurve_Q9BUF7_CRB3.pdf</v>
      </c>
    </row>
    <row r="1711" spans="1:28" x14ac:dyDescent="0.25">
      <c r="A1711" t="s">
        <v>1715</v>
      </c>
      <c r="B1711">
        <v>1</v>
      </c>
      <c r="C1711">
        <v>1.09115481405536</v>
      </c>
      <c r="D1711">
        <v>1.3225836517848799</v>
      </c>
      <c r="E1711">
        <v>1.35415695777798</v>
      </c>
      <c r="F1711">
        <v>1.4136918631745701</v>
      </c>
      <c r="G1711">
        <v>1.3180398918818199</v>
      </c>
      <c r="H1711">
        <v>0.71481498741728</v>
      </c>
      <c r="I1711">
        <v>1.124359213347</v>
      </c>
      <c r="J1711">
        <v>1.15108584211017</v>
      </c>
      <c r="K1711">
        <v>1.0009903066455399</v>
      </c>
      <c r="L1711">
        <v>1.0000000000000001E-5</v>
      </c>
      <c r="M1711">
        <v>1.0000000000000001E-5</v>
      </c>
      <c r="Q1711">
        <v>1.29817403918505</v>
      </c>
      <c r="R1711">
        <v>-4.2466370420157798E-9</v>
      </c>
      <c r="S1711" t="s">
        <v>3585</v>
      </c>
      <c r="T1711" t="s">
        <v>3746</v>
      </c>
      <c r="U1711" t="s">
        <v>3746</v>
      </c>
      <c r="V1711" t="s">
        <v>3746</v>
      </c>
      <c r="W1711" t="s">
        <v>5445</v>
      </c>
      <c r="X1711">
        <v>7</v>
      </c>
      <c r="Y1711" t="s">
        <v>7230</v>
      </c>
      <c r="Z1711" t="s">
        <v>9099</v>
      </c>
      <c r="AA1711">
        <v>1.1490877511223809</v>
      </c>
      <c r="AB1711" t="str">
        <f>HYPERLINK("Melting_Curves/meltCurve_Q9BUP0_EFHD1.pdf", "Melting_Curves/meltCurve_Q9BUP0_EFHD1.pdf")</f>
        <v>Melting_Curves/meltCurve_Q9BUP0_EFHD1.pdf</v>
      </c>
    </row>
    <row r="1712" spans="1:28" x14ac:dyDescent="0.25">
      <c r="A1712" t="s">
        <v>1716</v>
      </c>
      <c r="B1712">
        <v>1</v>
      </c>
      <c r="C1712">
        <v>0.93026305833690603</v>
      </c>
      <c r="D1712">
        <v>1.14691417185805</v>
      </c>
      <c r="E1712">
        <v>1.24086357789604</v>
      </c>
      <c r="F1712">
        <v>0.97384549421170796</v>
      </c>
      <c r="G1712">
        <v>1.1293853565033201</v>
      </c>
      <c r="H1712">
        <v>0.68412822517591898</v>
      </c>
      <c r="I1712">
        <v>1.1307220863073499</v>
      </c>
      <c r="J1712">
        <v>1.1077202451512</v>
      </c>
      <c r="K1712">
        <v>0.899039067820122</v>
      </c>
      <c r="L1712">
        <v>15000</v>
      </c>
      <c r="M1712">
        <v>212.09902146082999</v>
      </c>
      <c r="Q1712">
        <v>0</v>
      </c>
      <c r="R1712">
        <v>1.8292655716374302E-2</v>
      </c>
      <c r="S1712" t="s">
        <v>3586</v>
      </c>
      <c r="T1712" t="s">
        <v>3746</v>
      </c>
      <c r="U1712" t="s">
        <v>3746</v>
      </c>
      <c r="V1712" t="s">
        <v>3746</v>
      </c>
      <c r="W1712" t="s">
        <v>5446</v>
      </c>
      <c r="X1712">
        <v>1</v>
      </c>
      <c r="Y1712" t="s">
        <v>7231</v>
      </c>
      <c r="Z1712" t="s">
        <v>9100</v>
      </c>
      <c r="AA1712">
        <v>0.99885217037403073</v>
      </c>
      <c r="AB1712" t="str">
        <f>HYPERLINK("Melting_Curves/meltCurve_Q9BVC6_TMEM109.pdf", "Melting_Curves/meltCurve_Q9BVC6_TMEM109.pdf")</f>
        <v>Melting_Curves/meltCurve_Q9BVC6_TMEM109.pdf</v>
      </c>
    </row>
    <row r="1713" spans="1:28" x14ac:dyDescent="0.25">
      <c r="A1713" t="s">
        <v>1717</v>
      </c>
      <c r="B1713">
        <v>1</v>
      </c>
      <c r="C1713">
        <v>1.0601399334399</v>
      </c>
      <c r="D1713">
        <v>1.5462383061240501</v>
      </c>
      <c r="E1713">
        <v>2.2248892848719901</v>
      </c>
      <c r="F1713">
        <v>1.64856790964597</v>
      </c>
      <c r="G1713">
        <v>2.1184455333979701</v>
      </c>
      <c r="H1713">
        <v>1.25067477267367</v>
      </c>
      <c r="I1713">
        <v>2.0087261864206898</v>
      </c>
      <c r="J1713">
        <v>1.73850265978355</v>
      </c>
      <c r="K1713">
        <v>1.7516836560886799</v>
      </c>
      <c r="L1713">
        <v>10810.361570577499</v>
      </c>
      <c r="M1713">
        <v>250</v>
      </c>
      <c r="O1713">
        <v>43.2386791586759</v>
      </c>
      <c r="P1713">
        <v>0.72273253196254295</v>
      </c>
      <c r="Q1713">
        <v>1.5</v>
      </c>
      <c r="R1713">
        <v>0.16010930509287499</v>
      </c>
      <c r="S1713" t="s">
        <v>3587</v>
      </c>
      <c r="T1713" t="s">
        <v>3746</v>
      </c>
      <c r="U1713" t="s">
        <v>3746</v>
      </c>
      <c r="V1713" t="s">
        <v>3746</v>
      </c>
      <c r="W1713" t="s">
        <v>5447</v>
      </c>
      <c r="X1713">
        <v>2</v>
      </c>
      <c r="Y1713" t="s">
        <v>7232</v>
      </c>
      <c r="Z1713" t="s">
        <v>9101</v>
      </c>
      <c r="AA1713">
        <v>1.445937951258319</v>
      </c>
      <c r="AB1713" t="str">
        <f>HYPERLINK("Melting_Curves/meltCurve_Q9BVG4_PBDC1.pdf", "Melting_Curves/meltCurve_Q9BVG4_PBDC1.pdf")</f>
        <v>Melting_Curves/meltCurve_Q9BVG4_PBDC1.pdf</v>
      </c>
    </row>
    <row r="1714" spans="1:28" x14ac:dyDescent="0.25">
      <c r="A1714" t="s">
        <v>1718</v>
      </c>
      <c r="B1714">
        <v>1</v>
      </c>
      <c r="C1714">
        <v>1.43003778337531</v>
      </c>
      <c r="D1714">
        <v>2.2527707808564199</v>
      </c>
      <c r="E1714">
        <v>3.0262594458438299</v>
      </c>
      <c r="F1714">
        <v>1.66731738035264</v>
      </c>
      <c r="G1714">
        <v>2.0591309823677602</v>
      </c>
      <c r="H1714">
        <v>1.55510075566751</v>
      </c>
      <c r="I1714">
        <v>2.1383501259445801</v>
      </c>
      <c r="J1714">
        <v>1.81454659949622</v>
      </c>
      <c r="K1714">
        <v>1.9637909319899201</v>
      </c>
      <c r="L1714">
        <v>1.0000000000000001E-5</v>
      </c>
      <c r="M1714">
        <v>29.5663660183023</v>
      </c>
      <c r="Q1714">
        <v>1.5</v>
      </c>
      <c r="R1714">
        <v>-0.567650057054224</v>
      </c>
      <c r="S1714" t="s">
        <v>3588</v>
      </c>
      <c r="T1714" t="s">
        <v>3746</v>
      </c>
      <c r="U1714" t="s">
        <v>3746</v>
      </c>
      <c r="V1714" t="s">
        <v>3746</v>
      </c>
      <c r="W1714" t="s">
        <v>5448</v>
      </c>
      <c r="X1714">
        <v>2</v>
      </c>
      <c r="Y1714" t="s">
        <v>7233</v>
      </c>
      <c r="Z1714" t="s">
        <v>9102</v>
      </c>
      <c r="AA1714">
        <v>1.4999999999999281</v>
      </c>
      <c r="AB1714" t="str">
        <f>HYPERLINK("Melting_Curves/meltCurve_Q9BVJ7_DUSP23.pdf", "Melting_Curves/meltCurve_Q9BVJ7_DUSP23.pdf")</f>
        <v>Melting_Curves/meltCurve_Q9BVJ7_DUSP23.pdf</v>
      </c>
    </row>
    <row r="1715" spans="1:28" x14ac:dyDescent="0.25">
      <c r="A1715" t="s">
        <v>1719</v>
      </c>
      <c r="B1715">
        <v>1</v>
      </c>
      <c r="C1715">
        <v>0.59256139518329598</v>
      </c>
      <c r="D1715">
        <v>0.69539684422825998</v>
      </c>
      <c r="E1715">
        <v>1.0005338711590901</v>
      </c>
      <c r="F1715">
        <v>0.586071894649425</v>
      </c>
      <c r="G1715">
        <v>0.68566852532922096</v>
      </c>
      <c r="H1715">
        <v>0.53441096215446704</v>
      </c>
      <c r="I1715">
        <v>0.46431367896547598</v>
      </c>
      <c r="J1715">
        <v>0.74047929766283105</v>
      </c>
      <c r="K1715">
        <v>0.47863328983272002</v>
      </c>
      <c r="L1715">
        <v>164.37153203704599</v>
      </c>
      <c r="M1715">
        <v>2.60318404504289</v>
      </c>
      <c r="O1715">
        <v>43.476462304327399</v>
      </c>
      <c r="P1715">
        <v>-1.2904490757393699E-2</v>
      </c>
      <c r="Q1715">
        <v>0.175756082803494</v>
      </c>
      <c r="R1715">
        <v>0.335824985704478</v>
      </c>
      <c r="S1715" t="s">
        <v>3589</v>
      </c>
      <c r="T1715" t="s">
        <v>3746</v>
      </c>
      <c r="U1715" t="s">
        <v>3746</v>
      </c>
      <c r="V1715" t="s">
        <v>3746</v>
      </c>
      <c r="W1715" t="s">
        <v>5449</v>
      </c>
      <c r="X1715">
        <v>2</v>
      </c>
      <c r="Y1715" t="s">
        <v>7234</v>
      </c>
      <c r="Z1715" t="s">
        <v>9103</v>
      </c>
      <c r="AA1715">
        <v>0.67587753044670507</v>
      </c>
      <c r="AB1715" t="str">
        <f>HYPERLINK("Melting_Curves/meltCurve_Q9BW04_SARG.pdf", "Melting_Curves/meltCurve_Q9BW04_SARG.pdf")</f>
        <v>Melting_Curves/meltCurve_Q9BW04_SARG.pdf</v>
      </c>
    </row>
    <row r="1716" spans="1:28" x14ac:dyDescent="0.25">
      <c r="A1716" t="s">
        <v>1720</v>
      </c>
      <c r="B1716">
        <v>1</v>
      </c>
      <c r="C1716">
        <v>1.1872964169381099</v>
      </c>
      <c r="D1716">
        <v>1.5862152609328399</v>
      </c>
      <c r="E1716">
        <v>2.2905953288516199</v>
      </c>
      <c r="F1716">
        <v>1.4688821124125</v>
      </c>
      <c r="G1716">
        <v>1.93350197518886</v>
      </c>
      <c r="H1716">
        <v>1.3820777600665299</v>
      </c>
      <c r="I1716">
        <v>2.0916903458313101</v>
      </c>
      <c r="J1716">
        <v>2.0153856816134201</v>
      </c>
      <c r="K1716">
        <v>2.1442927437798902</v>
      </c>
      <c r="L1716">
        <v>10746.9889548341</v>
      </c>
      <c r="M1716">
        <v>250</v>
      </c>
      <c r="O1716">
        <v>42.985204841843</v>
      </c>
      <c r="P1716">
        <v>0.726994325775285</v>
      </c>
      <c r="Q1716">
        <v>1.5</v>
      </c>
      <c r="R1716">
        <v>-5.2563317343241399E-2</v>
      </c>
      <c r="S1716" t="s">
        <v>3590</v>
      </c>
      <c r="T1716" t="s">
        <v>3746</v>
      </c>
      <c r="U1716" t="s">
        <v>3746</v>
      </c>
      <c r="V1716" t="s">
        <v>3746</v>
      </c>
      <c r="W1716" t="s">
        <v>5450</v>
      </c>
      <c r="X1716">
        <v>8</v>
      </c>
      <c r="Y1716" t="s">
        <v>7235</v>
      </c>
      <c r="Z1716" t="s">
        <v>9104</v>
      </c>
      <c r="AA1716">
        <v>1.4501630147285769</v>
      </c>
      <c r="AB1716" t="str">
        <f>HYPERLINK("Melting_Curves/meltCurve_Q9BWD1_ACAT2.pdf", "Melting_Curves/meltCurve_Q9BWD1_ACAT2.pdf")</f>
        <v>Melting_Curves/meltCurve_Q9BWD1_ACAT2.pdf</v>
      </c>
    </row>
    <row r="1717" spans="1:28" x14ac:dyDescent="0.25">
      <c r="A1717" t="s">
        <v>1721</v>
      </c>
      <c r="B1717">
        <v>1</v>
      </c>
      <c r="C1717">
        <v>1.05032110091743</v>
      </c>
      <c r="D1717">
        <v>1.49899082568807</v>
      </c>
      <c r="E1717">
        <v>1.4439449541284399</v>
      </c>
      <c r="F1717">
        <v>0.90440366972477104</v>
      </c>
      <c r="G1717">
        <v>1.42123853211009</v>
      </c>
      <c r="H1717">
        <v>0.34345412844036699</v>
      </c>
      <c r="I1717">
        <v>1.1329816513761499</v>
      </c>
      <c r="J1717">
        <v>0.91633027522935795</v>
      </c>
      <c r="K1717">
        <v>0.82550458715596298</v>
      </c>
      <c r="L1717">
        <v>2299.6930005652798</v>
      </c>
      <c r="M1717">
        <v>39.005776266250798</v>
      </c>
      <c r="O1717">
        <v>58.803426561596098</v>
      </c>
      <c r="P1717">
        <v>-2.6078014537872101E-2</v>
      </c>
      <c r="Q1717">
        <v>0.84274399817839596</v>
      </c>
      <c r="R1717">
        <v>5.4324354652355203E-2</v>
      </c>
      <c r="S1717" t="s">
        <v>3591</v>
      </c>
      <c r="T1717" t="s">
        <v>3746</v>
      </c>
      <c r="U1717" t="s">
        <v>3746</v>
      </c>
      <c r="V1717" t="s">
        <v>3746</v>
      </c>
      <c r="W1717" t="s">
        <v>5451</v>
      </c>
      <c r="X1717">
        <v>5</v>
      </c>
      <c r="Y1717" t="s">
        <v>7236</v>
      </c>
      <c r="Z1717" t="s">
        <v>9105</v>
      </c>
      <c r="AA1717">
        <v>0.94276715673304201</v>
      </c>
      <c r="AB1717" t="str">
        <f>HYPERLINK("Melting_Curves/meltCurve_Q9BXJ1_C1QTNF1.pdf", "Melting_Curves/meltCurve_Q9BXJ1_C1QTNF1.pdf")</f>
        <v>Melting_Curves/meltCurve_Q9BXJ1_C1QTNF1.pdf</v>
      </c>
    </row>
    <row r="1718" spans="1:28" x14ac:dyDescent="0.25">
      <c r="A1718" t="s">
        <v>1722</v>
      </c>
      <c r="B1718">
        <v>1</v>
      </c>
      <c r="C1718">
        <v>0.95570719994945197</v>
      </c>
      <c r="D1718">
        <v>1.1297507345275299</v>
      </c>
      <c r="E1718">
        <v>1.2275297760085899</v>
      </c>
      <c r="F1718">
        <v>0.86930148801061502</v>
      </c>
      <c r="G1718">
        <v>1.1302246232584601</v>
      </c>
      <c r="H1718">
        <v>0.47527880453669502</v>
      </c>
      <c r="I1718">
        <v>0.89975673711812498</v>
      </c>
      <c r="J1718">
        <v>0.84244779325814301</v>
      </c>
      <c r="K1718">
        <v>0.75348308217230597</v>
      </c>
      <c r="L1718">
        <v>3735.0685071510802</v>
      </c>
      <c r="M1718">
        <v>63.638947712940897</v>
      </c>
      <c r="O1718">
        <v>58.633675826989297</v>
      </c>
      <c r="P1718">
        <v>-6.8005153158338397E-2</v>
      </c>
      <c r="Q1718">
        <v>0.74937417625117997</v>
      </c>
      <c r="R1718">
        <v>0.453156394707251</v>
      </c>
      <c r="S1718" t="s">
        <v>3592</v>
      </c>
      <c r="T1718" t="s">
        <v>3746</v>
      </c>
      <c r="U1718" t="s">
        <v>3746</v>
      </c>
      <c r="V1718" t="s">
        <v>3746</v>
      </c>
      <c r="W1718" t="s">
        <v>5452</v>
      </c>
      <c r="X1718">
        <v>3</v>
      </c>
      <c r="Y1718" t="s">
        <v>7237</v>
      </c>
      <c r="Z1718" t="s">
        <v>9106</v>
      </c>
      <c r="AA1718">
        <v>0.90592629781586431</v>
      </c>
      <c r="AB1718" t="str">
        <f>HYPERLINK("Melting_Curves/meltCurve_Q9BY67_2_CADM1.pdf", "Melting_Curves/meltCurve_Q9BY67_2_CADM1.pdf")</f>
        <v>Melting_Curves/meltCurve_Q9BY67_2_CADM1.pdf</v>
      </c>
    </row>
    <row r="1719" spans="1:28" x14ac:dyDescent="0.25">
      <c r="A1719" t="s">
        <v>1723</v>
      </c>
      <c r="B1719">
        <v>1</v>
      </c>
      <c r="C1719">
        <v>0.986062863600218</v>
      </c>
      <c r="D1719">
        <v>1.25086845519608</v>
      </c>
      <c r="E1719">
        <v>1.5628008203239401</v>
      </c>
      <c r="F1719">
        <v>1.1048005692043701</v>
      </c>
      <c r="G1719">
        <v>1.65031599213159</v>
      </c>
      <c r="H1719">
        <v>1.14916502741389</v>
      </c>
      <c r="I1719">
        <v>1.9022726321516801</v>
      </c>
      <c r="J1719">
        <v>1.94462813376303</v>
      </c>
      <c r="K1719">
        <v>1.8464403800276199</v>
      </c>
      <c r="L1719">
        <v>11499.680407341501</v>
      </c>
      <c r="M1719">
        <v>250</v>
      </c>
      <c r="O1719">
        <v>45.9957780286068</v>
      </c>
      <c r="P1719">
        <v>0.67941018468185399</v>
      </c>
      <c r="Q1719">
        <v>1.5</v>
      </c>
      <c r="R1719">
        <v>0.407240759314838</v>
      </c>
      <c r="S1719" t="s">
        <v>3593</v>
      </c>
      <c r="T1719" t="s">
        <v>3746</v>
      </c>
      <c r="U1719" t="s">
        <v>3746</v>
      </c>
      <c r="V1719" t="s">
        <v>3746</v>
      </c>
      <c r="W1719" t="s">
        <v>5453</v>
      </c>
      <c r="X1719">
        <v>5</v>
      </c>
      <c r="Y1719" t="s">
        <v>7238</v>
      </c>
      <c r="Z1719" t="s">
        <v>9107</v>
      </c>
      <c r="AA1719">
        <v>1.3999809426569529</v>
      </c>
      <c r="AB1719" t="str">
        <f>HYPERLINK("Melting_Curves/meltCurve_Q9BY76_ANGPTL4.pdf", "Melting_Curves/meltCurve_Q9BY76_ANGPTL4.pdf")</f>
        <v>Melting_Curves/meltCurve_Q9BY76_ANGPTL4.pdf</v>
      </c>
    </row>
    <row r="1720" spans="1:28" x14ac:dyDescent="0.25">
      <c r="A1720" t="s">
        <v>1724</v>
      </c>
      <c r="B1720">
        <v>1</v>
      </c>
      <c r="C1720">
        <v>0.93525296017222803</v>
      </c>
      <c r="D1720">
        <v>1.89319160387513</v>
      </c>
      <c r="E1720">
        <v>2.4574811625403701</v>
      </c>
      <c r="F1720">
        <v>1.9355489773950501</v>
      </c>
      <c r="G1720">
        <v>2.2816200215285298</v>
      </c>
      <c r="H1720">
        <v>1.57491926803014</v>
      </c>
      <c r="I1720">
        <v>2.1563778256189501</v>
      </c>
      <c r="J1720">
        <v>2.19512917115178</v>
      </c>
      <c r="K1720">
        <v>2.2522604951560798</v>
      </c>
      <c r="L1720">
        <v>11060.532520309</v>
      </c>
      <c r="M1720">
        <v>250</v>
      </c>
      <c r="O1720">
        <v>44.239300455800603</v>
      </c>
      <c r="P1720">
        <v>0.70638551759010004</v>
      </c>
      <c r="Q1720">
        <v>1.5</v>
      </c>
      <c r="R1720">
        <v>-0.307615010994361</v>
      </c>
      <c r="S1720" t="s">
        <v>3594</v>
      </c>
      <c r="T1720" t="s">
        <v>3746</v>
      </c>
      <c r="U1720" t="s">
        <v>3746</v>
      </c>
      <c r="V1720" t="s">
        <v>3746</v>
      </c>
      <c r="W1720" t="s">
        <v>5454</v>
      </c>
      <c r="X1720">
        <v>1</v>
      </c>
      <c r="Y1720" t="s">
        <v>7239</v>
      </c>
      <c r="Z1720" t="s">
        <v>9108</v>
      </c>
      <c r="AA1720">
        <v>1.429259009854525</v>
      </c>
      <c r="AB1720" t="str">
        <f>HYPERLINK("Melting_Curves/meltCurve_Q9BYF1_ACE2.pdf", "Melting_Curves/meltCurve_Q9BYF1_ACE2.pdf")</f>
        <v>Melting_Curves/meltCurve_Q9BYF1_ACE2.pdf</v>
      </c>
    </row>
    <row r="1721" spans="1:28" x14ac:dyDescent="0.25">
      <c r="A1721" t="s">
        <v>1725</v>
      </c>
      <c r="B1721">
        <v>1</v>
      </c>
      <c r="C1721">
        <v>1.22817175413405</v>
      </c>
      <c r="D1721">
        <v>1.5056278660428899</v>
      </c>
      <c r="E1721">
        <v>1.8032331279818401</v>
      </c>
      <c r="F1721">
        <v>1.55935893278985</v>
      </c>
      <c r="G1721">
        <v>1.9254018250034699</v>
      </c>
      <c r="H1721">
        <v>1.18451526240215</v>
      </c>
      <c r="I1721">
        <v>1.70792996433369</v>
      </c>
      <c r="J1721">
        <v>1.39353374403631</v>
      </c>
      <c r="K1721">
        <v>1.2018852193246601</v>
      </c>
      <c r="L1721">
        <v>10732.510578351301</v>
      </c>
      <c r="M1721">
        <v>250</v>
      </c>
      <c r="O1721">
        <v>42.927295092299197</v>
      </c>
      <c r="P1721">
        <v>0.72797505600356305</v>
      </c>
      <c r="Q1721">
        <v>1.5</v>
      </c>
      <c r="R1721">
        <v>0.36598301929350602</v>
      </c>
      <c r="S1721" t="s">
        <v>3595</v>
      </c>
      <c r="T1721" t="s">
        <v>3746</v>
      </c>
      <c r="U1721" t="s">
        <v>3746</v>
      </c>
      <c r="V1721" t="s">
        <v>3746</v>
      </c>
      <c r="W1721" t="s">
        <v>5455</v>
      </c>
      <c r="X1721">
        <v>1</v>
      </c>
      <c r="Y1721" t="s">
        <v>7240</v>
      </c>
      <c r="Z1721" t="s">
        <v>9109</v>
      </c>
      <c r="AA1721">
        <v>1.4511282906377121</v>
      </c>
      <c r="AB1721" t="str">
        <f>HYPERLINK("Melting_Curves/meltCurve_Q9BZD6_PRRG4.pdf", "Melting_Curves/meltCurve_Q9BZD6_PRRG4.pdf")</f>
        <v>Melting_Curves/meltCurve_Q9BZD6_PRRG4.pdf</v>
      </c>
    </row>
    <row r="1722" spans="1:28" x14ac:dyDescent="0.25">
      <c r="A1722" t="s">
        <v>1726</v>
      </c>
      <c r="B1722">
        <v>1</v>
      </c>
      <c r="C1722">
        <v>1.51561595010025</v>
      </c>
      <c r="D1722">
        <v>1.4135887725551299</v>
      </c>
      <c r="E1722">
        <v>2.40735130318556</v>
      </c>
      <c r="F1722">
        <v>1.2600133660057899</v>
      </c>
      <c r="G1722">
        <v>1.091156159501</v>
      </c>
      <c r="H1722">
        <v>1.12777901537091</v>
      </c>
      <c r="I1722">
        <v>1.51084874136779</v>
      </c>
      <c r="J1722">
        <v>1.57825796391178</v>
      </c>
      <c r="K1722">
        <v>1.4612608598797101</v>
      </c>
      <c r="L1722">
        <v>10269.154661803201</v>
      </c>
      <c r="M1722">
        <v>250</v>
      </c>
      <c r="O1722">
        <v>41.073985234995703</v>
      </c>
      <c r="P1722">
        <v>0.73814665517352496</v>
      </c>
      <c r="Q1722">
        <v>1.48509805305439</v>
      </c>
      <c r="R1722">
        <v>0.150008883795478</v>
      </c>
      <c r="S1722" t="s">
        <v>3596</v>
      </c>
      <c r="T1722" t="s">
        <v>3746</v>
      </c>
      <c r="U1722" t="s">
        <v>3746</v>
      </c>
      <c r="V1722" t="s">
        <v>3746</v>
      </c>
      <c r="W1722" t="s">
        <v>5456</v>
      </c>
      <c r="X1722">
        <v>3</v>
      </c>
      <c r="Y1722" t="s">
        <v>7241</v>
      </c>
      <c r="Z1722" t="s">
        <v>9110</v>
      </c>
      <c r="AA1722">
        <v>1.4676512413499629</v>
      </c>
      <c r="AB1722" t="str">
        <f>HYPERLINK("Melting_Curves/meltCurve_Q9GZM7_3_TINAGL1.pdf", "Melting_Curves/meltCurve_Q9GZM7_3_TINAGL1.pdf")</f>
        <v>Melting_Curves/meltCurve_Q9GZM7_3_TINAGL1.pdf</v>
      </c>
    </row>
    <row r="1723" spans="1:28" x14ac:dyDescent="0.25">
      <c r="A1723" t="s">
        <v>1727</v>
      </c>
      <c r="B1723">
        <v>1</v>
      </c>
      <c r="C1723">
        <v>1.0040887850467299</v>
      </c>
      <c r="D1723">
        <v>1.3650700934579401</v>
      </c>
      <c r="E1723">
        <v>1.75511098130841</v>
      </c>
      <c r="F1723">
        <v>1.1864047897196299</v>
      </c>
      <c r="G1723">
        <v>1.4039865654205601</v>
      </c>
      <c r="H1723">
        <v>0.83082651869158897</v>
      </c>
      <c r="I1723">
        <v>1.3896758177570101</v>
      </c>
      <c r="J1723">
        <v>1.2358352803738299</v>
      </c>
      <c r="K1723">
        <v>1.1057242990654199</v>
      </c>
      <c r="L1723">
        <v>10906.1775541201</v>
      </c>
      <c r="M1723">
        <v>250</v>
      </c>
      <c r="O1723">
        <v>43.621918205249699</v>
      </c>
      <c r="P1723">
        <v>0.40701919786938701</v>
      </c>
      <c r="Q1723">
        <v>1.28407933226436</v>
      </c>
      <c r="R1723">
        <v>0.20191554001818501</v>
      </c>
      <c r="S1723" t="s">
        <v>3597</v>
      </c>
      <c r="T1723" t="s">
        <v>3746</v>
      </c>
      <c r="U1723" t="s">
        <v>3746</v>
      </c>
      <c r="V1723" t="s">
        <v>3746</v>
      </c>
      <c r="W1723" t="s">
        <v>5457</v>
      </c>
      <c r="X1723">
        <v>2</v>
      </c>
      <c r="Y1723" t="s">
        <v>7242</v>
      </c>
      <c r="Z1723" t="s">
        <v>9111</v>
      </c>
      <c r="AA1723">
        <v>1.249734074356869</v>
      </c>
      <c r="AB1723" t="str">
        <f>HYPERLINK("Melting_Curves/meltCurve_Q9GZN4_PRSS22.pdf", "Melting_Curves/meltCurve_Q9GZN4_PRSS22.pdf")</f>
        <v>Melting_Curves/meltCurve_Q9GZN4_PRSS22.pdf</v>
      </c>
    </row>
    <row r="1724" spans="1:28" x14ac:dyDescent="0.25">
      <c r="A1724" t="s">
        <v>1728</v>
      </c>
      <c r="B1724">
        <v>1</v>
      </c>
      <c r="C1724">
        <v>1.23245711246066</v>
      </c>
      <c r="D1724">
        <v>1.5180859080633</v>
      </c>
      <c r="E1724">
        <v>1.65774192118445</v>
      </c>
      <c r="F1724">
        <v>1.0889445454142499</v>
      </c>
      <c r="G1724">
        <v>1.3487078327940101</v>
      </c>
      <c r="H1724">
        <v>0.364821135688639</v>
      </c>
      <c r="I1724">
        <v>1.19628529633406</v>
      </c>
      <c r="J1724">
        <v>1.01719934394255</v>
      </c>
      <c r="K1724">
        <v>0.99470277937851803</v>
      </c>
      <c r="L1724">
        <v>10241.540617759299</v>
      </c>
      <c r="M1724">
        <v>250</v>
      </c>
      <c r="O1724">
        <v>40.963540919116902</v>
      </c>
      <c r="P1724">
        <v>0.24055029745629899</v>
      </c>
      <c r="Q1724">
        <v>1.1576606710211099</v>
      </c>
      <c r="R1724">
        <v>1.9875479067000799E-2</v>
      </c>
      <c r="S1724" t="s">
        <v>3598</v>
      </c>
      <c r="T1724" t="s">
        <v>3746</v>
      </c>
      <c r="U1724" t="s">
        <v>3746</v>
      </c>
      <c r="V1724" t="s">
        <v>3746</v>
      </c>
      <c r="W1724" t="s">
        <v>5458</v>
      </c>
      <c r="X1724">
        <v>1</v>
      </c>
      <c r="Y1724" t="s">
        <v>7243</v>
      </c>
      <c r="Z1724" t="s">
        <v>9112</v>
      </c>
      <c r="AA1724">
        <v>1.152569867776847</v>
      </c>
      <c r="AB1724" t="str">
        <f>HYPERLINK("Melting_Curves/meltCurve_Q9GZP0_2_PDGFD.pdf", "Melting_Curves/meltCurve_Q9GZP0_2_PDGFD.pdf")</f>
        <v>Melting_Curves/meltCurve_Q9GZP0_2_PDGFD.pdf</v>
      </c>
    </row>
    <row r="1725" spans="1:28" x14ac:dyDescent="0.25">
      <c r="A1725" t="s">
        <v>1729</v>
      </c>
      <c r="B1725">
        <v>1</v>
      </c>
      <c r="C1725">
        <v>1.0054893826539699</v>
      </c>
      <c r="D1725">
        <v>1.4183349571010999</v>
      </c>
      <c r="E1725">
        <v>1.62952952638361</v>
      </c>
      <c r="F1725">
        <v>1.1401992520192299</v>
      </c>
      <c r="G1725">
        <v>1.70631802801261</v>
      </c>
      <c r="H1725">
        <v>1.1811601035021</v>
      </c>
      <c r="I1725">
        <v>2.0572613847072501</v>
      </c>
      <c r="J1725">
        <v>2.0287668793278599</v>
      </c>
      <c r="K1725">
        <v>1.7920110625726799</v>
      </c>
      <c r="L1725">
        <v>4311.9751896215603</v>
      </c>
      <c r="M1725">
        <v>95.375318442936702</v>
      </c>
      <c r="O1725">
        <v>45.190729059937198</v>
      </c>
      <c r="P1725">
        <v>0.26381328688710298</v>
      </c>
      <c r="Q1725">
        <v>1.5</v>
      </c>
      <c r="R1725">
        <v>0.341549774899221</v>
      </c>
      <c r="S1725" t="s">
        <v>3599</v>
      </c>
      <c r="T1725" t="s">
        <v>3746</v>
      </c>
      <c r="U1725" t="s">
        <v>3746</v>
      </c>
      <c r="V1725" t="s">
        <v>3746</v>
      </c>
      <c r="W1725" t="s">
        <v>5459</v>
      </c>
      <c r="X1725">
        <v>3</v>
      </c>
      <c r="Y1725" t="s">
        <v>7244</v>
      </c>
      <c r="Z1725" t="s">
        <v>9113</v>
      </c>
      <c r="AA1725">
        <v>1.4128837405505159</v>
      </c>
      <c r="AB1725" t="str">
        <f>HYPERLINK("Melting_Curves/meltCurve_Q9H0E2_TOLLIP.pdf", "Melting_Curves/meltCurve_Q9H0E2_TOLLIP.pdf")</f>
        <v>Melting_Curves/meltCurve_Q9H0E2_TOLLIP.pdf</v>
      </c>
    </row>
    <row r="1726" spans="1:28" x14ac:dyDescent="0.25">
      <c r="A1726" t="s">
        <v>1730</v>
      </c>
      <c r="B1726">
        <v>1</v>
      </c>
      <c r="C1726">
        <v>1.0466800343741001</v>
      </c>
      <c r="D1726">
        <v>1.8911486680034399</v>
      </c>
      <c r="E1726">
        <v>2.4206244629046099</v>
      </c>
      <c r="F1726">
        <v>1.2506445144657701</v>
      </c>
      <c r="G1726">
        <v>0.86340876539673395</v>
      </c>
      <c r="H1726">
        <v>0.89300486966485204</v>
      </c>
      <c r="I1726">
        <v>1.66645660269264</v>
      </c>
      <c r="J1726">
        <v>1.90455456889144</v>
      </c>
      <c r="K1726">
        <v>1.8372959037525101</v>
      </c>
      <c r="L1726">
        <v>10822.5220284849</v>
      </c>
      <c r="M1726">
        <v>250</v>
      </c>
      <c r="O1726">
        <v>43.287317834329102</v>
      </c>
      <c r="P1726">
        <v>0.721920451514933</v>
      </c>
      <c r="Q1726">
        <v>1.5</v>
      </c>
      <c r="R1726">
        <v>0.173762888562281</v>
      </c>
      <c r="S1726" t="s">
        <v>3600</v>
      </c>
      <c r="T1726" t="s">
        <v>3746</v>
      </c>
      <c r="U1726" t="s">
        <v>3746</v>
      </c>
      <c r="V1726" t="s">
        <v>3746</v>
      </c>
      <c r="W1726" t="s">
        <v>5460</v>
      </c>
      <c r="X1726">
        <v>1</v>
      </c>
      <c r="Y1726" t="s">
        <v>7245</v>
      </c>
      <c r="Z1726" t="s">
        <v>9114</v>
      </c>
      <c r="AA1726">
        <v>1.445127211382689</v>
      </c>
      <c r="AB1726" t="str">
        <f>HYPERLINK("Melting_Curves/meltCurve_Q9H0N0_RAB6C.pdf", "Melting_Curves/meltCurve_Q9H0N0_RAB6C.pdf")</f>
        <v>Melting_Curves/meltCurve_Q9H0N0_RAB6C.pdf</v>
      </c>
    </row>
    <row r="1727" spans="1:28" x14ac:dyDescent="0.25">
      <c r="A1727" t="s">
        <v>1731</v>
      </c>
      <c r="B1727">
        <v>1</v>
      </c>
      <c r="C1727">
        <v>1.2637448335023</v>
      </c>
      <c r="D1727">
        <v>1.8170214978294199</v>
      </c>
      <c r="E1727">
        <v>2.2020847955496601</v>
      </c>
      <c r="F1727">
        <v>1.6755049520392999</v>
      </c>
      <c r="G1727">
        <v>1.68938625906574</v>
      </c>
      <c r="H1727">
        <v>1.0250851334841</v>
      </c>
      <c r="I1727">
        <v>2.10522758584835</v>
      </c>
      <c r="J1727">
        <v>2.03779666744652</v>
      </c>
      <c r="K1727">
        <v>1.8987756375263201</v>
      </c>
      <c r="L1727">
        <v>10720.277993785599</v>
      </c>
      <c r="M1727">
        <v>250</v>
      </c>
      <c r="O1727">
        <v>42.8783678831755</v>
      </c>
      <c r="P1727">
        <v>0.72880572629397</v>
      </c>
      <c r="Q1727">
        <v>1.5</v>
      </c>
      <c r="R1727">
        <v>6.9052174706492097E-3</v>
      </c>
      <c r="S1727" t="s">
        <v>3601</v>
      </c>
      <c r="T1727" t="s">
        <v>3746</v>
      </c>
      <c r="U1727" t="s">
        <v>3746</v>
      </c>
      <c r="V1727" t="s">
        <v>3746</v>
      </c>
      <c r="W1727" t="s">
        <v>5461</v>
      </c>
      <c r="X1727">
        <v>3</v>
      </c>
      <c r="Y1727" t="s">
        <v>7246</v>
      </c>
      <c r="Z1727" t="s">
        <v>9115</v>
      </c>
      <c r="AA1727">
        <v>1.451943839201546</v>
      </c>
      <c r="AB1727" t="str">
        <f>HYPERLINK("Melting_Curves/meltCurve_Q9H0Q0_FAM49A.pdf", "Melting_Curves/meltCurve_Q9H0Q0_FAM49A.pdf")</f>
        <v>Melting_Curves/meltCurve_Q9H0Q0_FAM49A.pdf</v>
      </c>
    </row>
    <row r="1728" spans="1:28" x14ac:dyDescent="0.25">
      <c r="A1728" t="s">
        <v>1732</v>
      </c>
      <c r="B1728">
        <v>1</v>
      </c>
      <c r="C1728">
        <v>0.97763173065836495</v>
      </c>
      <c r="D1728">
        <v>1.3494753833736901</v>
      </c>
      <c r="E1728">
        <v>1.7628848149429299</v>
      </c>
      <c r="F1728">
        <v>1.0785771935893</v>
      </c>
      <c r="G1728">
        <v>1.35379914677735</v>
      </c>
      <c r="H1728">
        <v>0.96131673008186302</v>
      </c>
      <c r="I1728">
        <v>1.42113455551712</v>
      </c>
      <c r="J1728">
        <v>1.46835005188516</v>
      </c>
      <c r="K1728">
        <v>1.4270148737461099</v>
      </c>
      <c r="L1728">
        <v>11292.328026511301</v>
      </c>
      <c r="M1728">
        <v>250</v>
      </c>
      <c r="O1728">
        <v>45.166407446004101</v>
      </c>
      <c r="P1728">
        <v>0.48888272159113</v>
      </c>
      <c r="Q1728">
        <v>1.3532973297506301</v>
      </c>
      <c r="R1728">
        <v>0.334842948770952</v>
      </c>
      <c r="S1728" t="s">
        <v>3602</v>
      </c>
      <c r="T1728" t="s">
        <v>3746</v>
      </c>
      <c r="U1728" t="s">
        <v>3746</v>
      </c>
      <c r="V1728" t="s">
        <v>3746</v>
      </c>
      <c r="W1728" t="s">
        <v>5462</v>
      </c>
      <c r="X1728">
        <v>7</v>
      </c>
      <c r="Y1728" t="s">
        <v>7247</v>
      </c>
      <c r="Z1728" t="s">
        <v>9116</v>
      </c>
      <c r="AA1728">
        <v>1.292392517905526</v>
      </c>
      <c r="AB1728" t="str">
        <f>HYPERLINK("Melting_Curves/meltCurve_Q9H0U4_RAB1B.pdf", "Melting_Curves/meltCurve_Q9H0U4_RAB1B.pdf")</f>
        <v>Melting_Curves/meltCurve_Q9H0U4_RAB1B.pdf</v>
      </c>
    </row>
    <row r="1729" spans="1:28" x14ac:dyDescent="0.25">
      <c r="A1729" t="s">
        <v>1733</v>
      </c>
      <c r="B1729">
        <v>1</v>
      </c>
      <c r="C1729">
        <v>1.19683188553909</v>
      </c>
      <c r="D1729">
        <v>1.8501277465508399</v>
      </c>
      <c r="E1729">
        <v>2.71951967296883</v>
      </c>
      <c r="F1729">
        <v>2.3142565150740899</v>
      </c>
      <c r="G1729">
        <v>2.4719468574348502</v>
      </c>
      <c r="H1729">
        <v>1.69810935104752</v>
      </c>
      <c r="I1729">
        <v>2.1963719979560601</v>
      </c>
      <c r="J1729">
        <v>2.2131323454266698</v>
      </c>
      <c r="K1729">
        <v>2.1208993357179402</v>
      </c>
      <c r="L1729">
        <v>10743.5301010659</v>
      </c>
      <c r="M1729">
        <v>250</v>
      </c>
      <c r="O1729">
        <v>42.971370270180003</v>
      </c>
      <c r="P1729">
        <v>0.72722837985612598</v>
      </c>
      <c r="Q1729">
        <v>1.5</v>
      </c>
      <c r="R1729">
        <v>-0.72224846125029196</v>
      </c>
      <c r="S1729" t="s">
        <v>3603</v>
      </c>
      <c r="T1729" t="s">
        <v>3746</v>
      </c>
      <c r="U1729" t="s">
        <v>3746</v>
      </c>
      <c r="V1729" t="s">
        <v>3746</v>
      </c>
      <c r="W1729" t="s">
        <v>5463</v>
      </c>
      <c r="X1729">
        <v>5</v>
      </c>
      <c r="Y1729" t="s">
        <v>7248</v>
      </c>
      <c r="Z1729" t="s">
        <v>9117</v>
      </c>
      <c r="AA1729">
        <v>1.450393617118527</v>
      </c>
      <c r="AB1729" t="str">
        <f>HYPERLINK("Melting_Curves/meltCurve_Q9H0W9_3_C11orf54.pdf", "Melting_Curves/meltCurve_Q9H0W9_3_C11orf54.pdf")</f>
        <v>Melting_Curves/meltCurve_Q9H0W9_3_C11orf54.pdf</v>
      </c>
    </row>
    <row r="1730" spans="1:28" x14ac:dyDescent="0.25">
      <c r="A1730" t="s">
        <v>1734</v>
      </c>
      <c r="B1730">
        <v>1</v>
      </c>
      <c r="C1730">
        <v>0.83743465510646398</v>
      </c>
      <c r="D1730">
        <v>1.3088104041820701</v>
      </c>
      <c r="E1730">
        <v>1.47488206043606</v>
      </c>
      <c r="F1730">
        <v>1.06024480428408</v>
      </c>
      <c r="G1730">
        <v>1.00446257809512</v>
      </c>
      <c r="H1730">
        <v>0.71688129542266998</v>
      </c>
      <c r="I1730">
        <v>0.92496493688639603</v>
      </c>
      <c r="J1730">
        <v>0.95480045900803301</v>
      </c>
      <c r="K1730">
        <v>0.85292617620808397</v>
      </c>
      <c r="L1730">
        <v>10795.381994536599</v>
      </c>
      <c r="M1730">
        <v>184.80747232237201</v>
      </c>
      <c r="O1730">
        <v>58.407382226697898</v>
      </c>
      <c r="P1730">
        <v>-0.108838561982096</v>
      </c>
      <c r="Q1730">
        <v>0.862408727079362</v>
      </c>
      <c r="R1730">
        <v>0.16110329589751399</v>
      </c>
      <c r="S1730" t="s">
        <v>3604</v>
      </c>
      <c r="T1730" t="s">
        <v>3746</v>
      </c>
      <c r="U1730" t="s">
        <v>3746</v>
      </c>
      <c r="V1730" t="s">
        <v>3746</v>
      </c>
      <c r="W1730" t="s">
        <v>5464</v>
      </c>
      <c r="X1730">
        <v>2</v>
      </c>
      <c r="Y1730" t="s">
        <v>7249</v>
      </c>
      <c r="Z1730" t="s">
        <v>9118</v>
      </c>
      <c r="AA1730">
        <v>0.94688901790509494</v>
      </c>
      <c r="AB1730" t="str">
        <f>HYPERLINK("Melting_Curves/meltCurve_Q9H0X4_ITFG3.pdf", "Melting_Curves/meltCurve_Q9H0X4_ITFG3.pdf")</f>
        <v>Melting_Curves/meltCurve_Q9H0X4_ITFG3.pdf</v>
      </c>
    </row>
    <row r="1731" spans="1:28" x14ac:dyDescent="0.25">
      <c r="A1731" t="s">
        <v>1735</v>
      </c>
      <c r="B1731">
        <v>1</v>
      </c>
      <c r="C1731">
        <v>1.02859715580948</v>
      </c>
      <c r="D1731">
        <v>1.6165621312798899</v>
      </c>
      <c r="E1731">
        <v>2.2552008942433099</v>
      </c>
      <c r="F1731">
        <v>1.3449046761473</v>
      </c>
      <c r="G1731">
        <v>1.4480221076818001</v>
      </c>
      <c r="H1731">
        <v>1.2171955536235499</v>
      </c>
      <c r="I1731">
        <v>1.6280196236726101</v>
      </c>
      <c r="J1731">
        <v>1.8092901943737201</v>
      </c>
      <c r="K1731">
        <v>1.6588523877538299</v>
      </c>
      <c r="L1731">
        <v>10845.2211011537</v>
      </c>
      <c r="M1731">
        <v>250</v>
      </c>
      <c r="O1731">
        <v>43.378108747988499</v>
      </c>
      <c r="P1731">
        <v>0.72040947035108105</v>
      </c>
      <c r="Q1731">
        <v>1.5</v>
      </c>
      <c r="R1731">
        <v>0.36320142592021398</v>
      </c>
      <c r="S1731" t="s">
        <v>3605</v>
      </c>
      <c r="T1731" t="s">
        <v>3746</v>
      </c>
      <c r="U1731" t="s">
        <v>3746</v>
      </c>
      <c r="V1731" t="s">
        <v>3746</v>
      </c>
      <c r="W1731" t="s">
        <v>5465</v>
      </c>
      <c r="X1731">
        <v>11</v>
      </c>
      <c r="Y1731" t="s">
        <v>7250</v>
      </c>
      <c r="Z1731" t="s">
        <v>9119</v>
      </c>
      <c r="AA1731">
        <v>1.443613860199652</v>
      </c>
      <c r="AB1731" t="str">
        <f>HYPERLINK("Melting_Curves/meltCurve_Q9H173_SIL1.pdf", "Melting_Curves/meltCurve_Q9H173_SIL1.pdf")</f>
        <v>Melting_Curves/meltCurve_Q9H173_SIL1.pdf</v>
      </c>
    </row>
    <row r="1732" spans="1:28" x14ac:dyDescent="0.25">
      <c r="A1732" t="s">
        <v>1736</v>
      </c>
      <c r="B1732">
        <v>1</v>
      </c>
      <c r="C1732">
        <v>0.87203542479735796</v>
      </c>
      <c r="D1732">
        <v>1.3234389072350601</v>
      </c>
      <c r="E1732">
        <v>1.3160837586310401</v>
      </c>
      <c r="F1732">
        <v>0.84092614830381296</v>
      </c>
      <c r="G1732">
        <v>0.77821975382767905</v>
      </c>
      <c r="H1732">
        <v>0.61723206244371098</v>
      </c>
      <c r="I1732">
        <v>0.84314019813869701</v>
      </c>
      <c r="J1732">
        <v>1.02022665866106</v>
      </c>
      <c r="K1732">
        <v>0.89845391774242001</v>
      </c>
      <c r="L1732">
        <v>13100.746604636301</v>
      </c>
      <c r="M1732">
        <v>250</v>
      </c>
      <c r="O1732">
        <v>52.399633693343603</v>
      </c>
      <c r="P1732">
        <v>-0.20104182260770501</v>
      </c>
      <c r="Q1732">
        <v>0.83144771672079898</v>
      </c>
      <c r="R1732">
        <v>0.31621983583404001</v>
      </c>
      <c r="S1732" t="s">
        <v>3606</v>
      </c>
      <c r="T1732" t="s">
        <v>3746</v>
      </c>
      <c r="U1732" t="s">
        <v>3746</v>
      </c>
      <c r="V1732" t="s">
        <v>3746</v>
      </c>
      <c r="W1732" t="s">
        <v>5466</v>
      </c>
      <c r="X1732">
        <v>1</v>
      </c>
      <c r="Y1732" t="s">
        <v>7251</v>
      </c>
      <c r="Z1732" t="s">
        <v>9120</v>
      </c>
      <c r="AA1732">
        <v>0.90114827388270824</v>
      </c>
      <c r="AB1732" t="str">
        <f>HYPERLINK("Melting_Curves/meltCurve_Q9H1C7_CYSTM1.pdf", "Melting_Curves/meltCurve_Q9H1C7_CYSTM1.pdf")</f>
        <v>Melting_Curves/meltCurve_Q9H1C7_CYSTM1.pdf</v>
      </c>
    </row>
    <row r="1733" spans="1:28" x14ac:dyDescent="0.25">
      <c r="A1733" t="s">
        <v>1737</v>
      </c>
      <c r="B1733">
        <v>1</v>
      </c>
      <c r="C1733">
        <v>1.0968473109416901</v>
      </c>
      <c r="D1733">
        <v>1.2584792911601099</v>
      </c>
      <c r="E1733">
        <v>1.7234700185452301</v>
      </c>
      <c r="F1733">
        <v>1.06165258602926</v>
      </c>
      <c r="G1733">
        <v>1.4110035029878401</v>
      </c>
      <c r="H1733">
        <v>0.66482588089841299</v>
      </c>
      <c r="I1733">
        <v>1.0547290335874699</v>
      </c>
      <c r="J1733">
        <v>1.15293632804451</v>
      </c>
      <c r="K1733">
        <v>1.2987018339171601</v>
      </c>
      <c r="L1733">
        <v>3996.9061220459798</v>
      </c>
      <c r="M1733">
        <v>59.612325788591697</v>
      </c>
      <c r="O1733">
        <v>66.972988471308497</v>
      </c>
      <c r="P1733">
        <v>7.1581989541835395E-2</v>
      </c>
      <c r="Q1733">
        <v>1.3216823133892499</v>
      </c>
      <c r="R1733">
        <v>-0.260271166460395</v>
      </c>
      <c r="S1733" t="s">
        <v>3607</v>
      </c>
      <c r="T1733" t="s">
        <v>3746</v>
      </c>
      <c r="U1733" t="s">
        <v>3746</v>
      </c>
      <c r="V1733" t="s">
        <v>3746</v>
      </c>
      <c r="W1733" t="s">
        <v>5467</v>
      </c>
      <c r="X1733">
        <v>1</v>
      </c>
      <c r="Y1733" t="s">
        <v>7252</v>
      </c>
      <c r="Z1733" t="s">
        <v>9121</v>
      </c>
      <c r="AA1733">
        <v>1.032044096781938</v>
      </c>
      <c r="AB1733" t="str">
        <f>HYPERLINK("Melting_Curves/meltCurve_Q9H1J1_3_UPF3A.pdf", "Melting_Curves/meltCurve_Q9H1J1_3_UPF3A.pdf")</f>
        <v>Melting_Curves/meltCurve_Q9H1J1_3_UPF3A.pdf</v>
      </c>
    </row>
    <row r="1734" spans="1:28" x14ac:dyDescent="0.25">
      <c r="A1734" t="s">
        <v>1738</v>
      </c>
      <c r="B1734">
        <v>1</v>
      </c>
      <c r="C1734">
        <v>1.0015421686746999</v>
      </c>
      <c r="D1734">
        <v>1.3456385542168701</v>
      </c>
      <c r="E1734">
        <v>1.71633734939759</v>
      </c>
      <c r="F1734">
        <v>1.23903614457831</v>
      </c>
      <c r="G1734">
        <v>1.4898313253012001</v>
      </c>
      <c r="H1734">
        <v>1.00693975903614</v>
      </c>
      <c r="I1734">
        <v>1.6013493975903601</v>
      </c>
      <c r="J1734">
        <v>1.5551807228915699</v>
      </c>
      <c r="K1734">
        <v>1.63315662650602</v>
      </c>
      <c r="L1734">
        <v>11450.3603077803</v>
      </c>
      <c r="M1734">
        <v>250</v>
      </c>
      <c r="O1734">
        <v>45.798510015377801</v>
      </c>
      <c r="P1734">
        <v>0.63200576610498704</v>
      </c>
      <c r="Q1734">
        <v>1.46311876029559</v>
      </c>
      <c r="R1734">
        <v>0.467063296412983</v>
      </c>
      <c r="S1734" t="s">
        <v>3608</v>
      </c>
      <c r="T1734" t="s">
        <v>3746</v>
      </c>
      <c r="U1734" t="s">
        <v>3746</v>
      </c>
      <c r="V1734" t="s">
        <v>3746</v>
      </c>
      <c r="W1734" t="s">
        <v>5468</v>
      </c>
      <c r="X1734">
        <v>1</v>
      </c>
      <c r="Y1734" t="s">
        <v>7253</v>
      </c>
      <c r="Z1734" t="s">
        <v>9122</v>
      </c>
      <c r="AA1734">
        <v>1.3735229920686669</v>
      </c>
      <c r="AB1734" t="str">
        <f>HYPERLINK("Melting_Curves/meltCurve_Q9H1X3_3_DNAJC25.pdf", "Melting_Curves/meltCurve_Q9H1X3_3_DNAJC25.pdf")</f>
        <v>Melting_Curves/meltCurve_Q9H1X3_3_DNAJC25.pdf</v>
      </c>
    </row>
    <row r="1735" spans="1:28" x14ac:dyDescent="0.25">
      <c r="A1735" t="s">
        <v>1739</v>
      </c>
      <c r="B1735">
        <v>1</v>
      </c>
      <c r="C1735">
        <v>0.95161516744396402</v>
      </c>
      <c r="D1735">
        <v>1.36549110137106</v>
      </c>
      <c r="E1735">
        <v>1.6507307638314801</v>
      </c>
      <c r="F1735">
        <v>1.29427087395299</v>
      </c>
      <c r="G1735">
        <v>1.4711359985026</v>
      </c>
      <c r="H1735">
        <v>1.12993090109342</v>
      </c>
      <c r="I1735">
        <v>1.9498993932398501</v>
      </c>
      <c r="J1735">
        <v>2.11710938840449</v>
      </c>
      <c r="K1735">
        <v>1.93742103539174</v>
      </c>
      <c r="L1735">
        <v>11454.017872456499</v>
      </c>
      <c r="M1735">
        <v>250</v>
      </c>
      <c r="O1735">
        <v>45.813139397163603</v>
      </c>
      <c r="P1735">
        <v>0.68211871819409897</v>
      </c>
      <c r="Q1735">
        <v>1.5</v>
      </c>
      <c r="R1735">
        <v>0.36564420555659899</v>
      </c>
      <c r="S1735" t="s">
        <v>3609</v>
      </c>
      <c r="T1735" t="s">
        <v>3746</v>
      </c>
      <c r="U1735" t="s">
        <v>3746</v>
      </c>
      <c r="V1735" t="s">
        <v>3746</v>
      </c>
      <c r="W1735" t="s">
        <v>5469</v>
      </c>
      <c r="X1735">
        <v>8</v>
      </c>
      <c r="Y1735" t="s">
        <v>7254</v>
      </c>
      <c r="Z1735" t="s">
        <v>9123</v>
      </c>
      <c r="AA1735">
        <v>1.403025271923362</v>
      </c>
      <c r="AB1735" t="str">
        <f>HYPERLINK("Melting_Curves/meltCurve_Q9H223_EHD4.pdf", "Melting_Curves/meltCurve_Q9H223_EHD4.pdf")</f>
        <v>Melting_Curves/meltCurve_Q9H223_EHD4.pdf</v>
      </c>
    </row>
    <row r="1736" spans="1:28" x14ac:dyDescent="0.25">
      <c r="A1736" t="s">
        <v>1740</v>
      </c>
      <c r="B1736">
        <v>1</v>
      </c>
      <c r="C1736">
        <v>1.14733049127081</v>
      </c>
      <c r="D1736">
        <v>1.6884388956556999</v>
      </c>
      <c r="E1736">
        <v>1.8156211936662601</v>
      </c>
      <c r="F1736">
        <v>0.95767356881851395</v>
      </c>
      <c r="G1736">
        <v>0.97223913926106398</v>
      </c>
      <c r="H1736">
        <v>0.75466910272026</v>
      </c>
      <c r="I1736">
        <v>1.1112971985383699</v>
      </c>
      <c r="J1736">
        <v>1.1276390580592801</v>
      </c>
      <c r="K1736">
        <v>1.1819935038570799</v>
      </c>
      <c r="L1736">
        <v>15000</v>
      </c>
      <c r="M1736">
        <v>235.312765304359</v>
      </c>
      <c r="O1736">
        <v>63.740364211987703</v>
      </c>
      <c r="P1736">
        <v>0.14289403643215301</v>
      </c>
      <c r="Q1736">
        <v>1.1548256846865601</v>
      </c>
      <c r="R1736">
        <v>-0.25425503180359499</v>
      </c>
      <c r="S1736" t="s">
        <v>3610</v>
      </c>
      <c r="T1736" t="s">
        <v>3746</v>
      </c>
      <c r="U1736" t="s">
        <v>3746</v>
      </c>
      <c r="V1736" t="s">
        <v>3746</v>
      </c>
      <c r="W1736" t="s">
        <v>5470</v>
      </c>
      <c r="X1736">
        <v>2</v>
      </c>
      <c r="Y1736" t="s">
        <v>7255</v>
      </c>
      <c r="Z1736" t="s">
        <v>9124</v>
      </c>
      <c r="AA1736">
        <v>1.0322618726093129</v>
      </c>
      <c r="AB1736" t="str">
        <f>HYPERLINK("Melting_Curves/meltCurve_Q9H246_C1orf21.pdf", "Melting_Curves/meltCurve_Q9H246_C1orf21.pdf")</f>
        <v>Melting_Curves/meltCurve_Q9H246_C1orf21.pdf</v>
      </c>
    </row>
    <row r="1737" spans="1:28" x14ac:dyDescent="0.25">
      <c r="A1737" t="s">
        <v>1741</v>
      </c>
      <c r="B1737">
        <v>1</v>
      </c>
      <c r="C1737">
        <v>1.14347230062092</v>
      </c>
      <c r="D1737">
        <v>1.5237158293685999</v>
      </c>
      <c r="E1737">
        <v>1.7582453027981599</v>
      </c>
      <c r="F1737">
        <v>1.0333682767518699</v>
      </c>
      <c r="G1737">
        <v>1.04568986372067</v>
      </c>
      <c r="H1737">
        <v>0.69887912265139895</v>
      </c>
      <c r="I1737">
        <v>1.0196919603257799</v>
      </c>
      <c r="J1737">
        <v>1.0723167486492999</v>
      </c>
      <c r="K1737">
        <v>1.17308281590194</v>
      </c>
      <c r="L1737">
        <v>4881.0370230705003</v>
      </c>
      <c r="M1737">
        <v>72.428694690695295</v>
      </c>
      <c r="O1737">
        <v>67.339600782824206</v>
      </c>
      <c r="P1737">
        <v>4.9633300678365799E-2</v>
      </c>
      <c r="Q1737">
        <v>1.1845835503808499</v>
      </c>
      <c r="R1737">
        <v>-0.23017742646827899</v>
      </c>
      <c r="S1737" t="s">
        <v>3611</v>
      </c>
      <c r="T1737" t="s">
        <v>3746</v>
      </c>
      <c r="U1737" t="s">
        <v>3746</v>
      </c>
      <c r="V1737" t="s">
        <v>3746</v>
      </c>
      <c r="W1737" t="s">
        <v>5471</v>
      </c>
      <c r="X1737">
        <v>1</v>
      </c>
      <c r="Y1737" t="s">
        <v>7256</v>
      </c>
      <c r="Z1737" t="s">
        <v>9125</v>
      </c>
      <c r="AA1737">
        <v>1.0162064977898051</v>
      </c>
      <c r="AB1737" t="str">
        <f>HYPERLINK("Melting_Curves/meltCurve_Q9H257_3_CARD9.pdf", "Melting_Curves/meltCurve_Q9H257_3_CARD9.pdf")</f>
        <v>Melting_Curves/meltCurve_Q9H257_3_CARD9.pdf</v>
      </c>
    </row>
    <row r="1738" spans="1:28" x14ac:dyDescent="0.25">
      <c r="A1738" t="s">
        <v>1742</v>
      </c>
      <c r="B1738">
        <v>1</v>
      </c>
      <c r="C1738">
        <v>1.14240135434301</v>
      </c>
      <c r="D1738">
        <v>1.65288449016799</v>
      </c>
      <c r="E1738">
        <v>2.1837478838390401</v>
      </c>
      <c r="F1738">
        <v>1.46405782002865</v>
      </c>
      <c r="G1738">
        <v>1.6296392759473901</v>
      </c>
      <c r="H1738">
        <v>0.90161479359291596</v>
      </c>
      <c r="I1738">
        <v>1.86892824586535</v>
      </c>
      <c r="J1738">
        <v>1.95214220601641</v>
      </c>
      <c r="K1738">
        <v>1.8276468290141901</v>
      </c>
      <c r="L1738">
        <v>10764.5006607537</v>
      </c>
      <c r="M1738">
        <v>250</v>
      </c>
      <c r="O1738">
        <v>43.055247404359299</v>
      </c>
      <c r="P1738">
        <v>0.725811650308822</v>
      </c>
      <c r="Q1738">
        <v>1.5</v>
      </c>
      <c r="R1738">
        <v>0.20499192988119699</v>
      </c>
      <c r="S1738" t="s">
        <v>3612</v>
      </c>
      <c r="T1738" t="s">
        <v>3746</v>
      </c>
      <c r="U1738" t="s">
        <v>3746</v>
      </c>
      <c r="V1738" t="s">
        <v>3746</v>
      </c>
      <c r="W1738" t="s">
        <v>5472</v>
      </c>
      <c r="X1738">
        <v>5</v>
      </c>
      <c r="Y1738" t="s">
        <v>7257</v>
      </c>
      <c r="Z1738" t="s">
        <v>9126</v>
      </c>
      <c r="AA1738">
        <v>1.4489955062085209</v>
      </c>
      <c r="AB1738" t="str">
        <f>HYPERLINK("Melting_Curves/meltCurve_Q9H2G2_2_SLK.pdf", "Melting_Curves/meltCurve_Q9H2G2_2_SLK.pdf")</f>
        <v>Melting_Curves/meltCurve_Q9H2G2_2_SLK.pdf</v>
      </c>
    </row>
    <row r="1739" spans="1:28" x14ac:dyDescent="0.25">
      <c r="A1739" t="s">
        <v>1743</v>
      </c>
      <c r="B1739">
        <v>1</v>
      </c>
      <c r="C1739">
        <v>0.82749293639308097</v>
      </c>
      <c r="D1739">
        <v>1.20818689270209</v>
      </c>
      <c r="E1739">
        <v>1.19066570188133</v>
      </c>
      <c r="F1739">
        <v>0.95606781062642099</v>
      </c>
      <c r="G1739">
        <v>1.0391771759355</v>
      </c>
      <c r="H1739">
        <v>0.61225966508166196</v>
      </c>
      <c r="I1739">
        <v>0.98239266763145205</v>
      </c>
      <c r="J1739">
        <v>1.214664737096</v>
      </c>
      <c r="K1739">
        <v>1.0259975191234201</v>
      </c>
      <c r="L1739">
        <v>1966.73352354076</v>
      </c>
      <c r="M1739">
        <v>29.4067362306929</v>
      </c>
      <c r="O1739">
        <v>66.573369100644896</v>
      </c>
      <c r="P1739">
        <v>1.23745293819912E-2</v>
      </c>
      <c r="Q1739">
        <v>1.11205710139562</v>
      </c>
      <c r="R1739">
        <v>3.7620784885167E-2</v>
      </c>
      <c r="S1739" t="s">
        <v>3613</v>
      </c>
      <c r="T1739" t="s">
        <v>3746</v>
      </c>
      <c r="U1739" t="s">
        <v>3746</v>
      </c>
      <c r="V1739" t="s">
        <v>3746</v>
      </c>
      <c r="W1739" t="s">
        <v>5473</v>
      </c>
      <c r="X1739">
        <v>2</v>
      </c>
      <c r="Y1739" t="s">
        <v>7258</v>
      </c>
      <c r="Z1739" t="s">
        <v>9127</v>
      </c>
      <c r="AA1739">
        <v>1.0130979309308621</v>
      </c>
      <c r="AB1739" t="str">
        <f>HYPERLINK("Melting_Curves/meltCurve_Q9H2K8_TAOK3.pdf", "Melting_Curves/meltCurve_Q9H2K8_TAOK3.pdf")</f>
        <v>Melting_Curves/meltCurve_Q9H2K8_TAOK3.pdf</v>
      </c>
    </row>
    <row r="1740" spans="1:28" x14ac:dyDescent="0.25">
      <c r="A1740" t="s">
        <v>1744</v>
      </c>
      <c r="B1740">
        <v>1</v>
      </c>
      <c r="C1740">
        <v>0.99772613831734203</v>
      </c>
      <c r="D1740">
        <v>1.9112084742942701</v>
      </c>
      <c r="E1740">
        <v>3.2927735566524299</v>
      </c>
      <c r="F1740">
        <v>2.3954300926182701</v>
      </c>
      <c r="G1740">
        <v>2.9191392601630501</v>
      </c>
      <c r="H1740">
        <v>2.2717542010981102</v>
      </c>
      <c r="I1740">
        <v>2.9769286229271801</v>
      </c>
      <c r="J1740">
        <v>3.53102989296212</v>
      </c>
      <c r="K1740">
        <v>2.9692751372636002</v>
      </c>
      <c r="L1740">
        <v>10992.938322834099</v>
      </c>
      <c r="M1740">
        <v>250</v>
      </c>
      <c r="O1740">
        <v>43.968939070625801</v>
      </c>
      <c r="P1740">
        <v>0.71072899345741802</v>
      </c>
      <c r="Q1740">
        <v>1.5</v>
      </c>
      <c r="R1740">
        <v>-1.1260665196364801</v>
      </c>
      <c r="S1740" t="s">
        <v>3614</v>
      </c>
      <c r="T1740" t="s">
        <v>3746</v>
      </c>
      <c r="U1740" t="s">
        <v>3746</v>
      </c>
      <c r="V1740" t="s">
        <v>3746</v>
      </c>
      <c r="W1740" t="s">
        <v>5474</v>
      </c>
      <c r="X1740">
        <v>1</v>
      </c>
      <c r="Y1740" t="s">
        <v>7259</v>
      </c>
      <c r="Z1740" t="s">
        <v>9128</v>
      </c>
      <c r="AA1740">
        <v>1.433765526939683</v>
      </c>
      <c r="AB1740" t="str">
        <f>HYPERLINK("Melting_Curves/meltCurve_Q9H2S1_KCNN2.pdf", "Melting_Curves/meltCurve_Q9H2S1_KCNN2.pdf")</f>
        <v>Melting_Curves/meltCurve_Q9H2S1_KCNN2.pdf</v>
      </c>
    </row>
    <row r="1741" spans="1:28" x14ac:dyDescent="0.25">
      <c r="A1741" t="s">
        <v>1745</v>
      </c>
      <c r="B1741">
        <v>1</v>
      </c>
      <c r="C1741">
        <v>1.10207818242566</v>
      </c>
      <c r="D1741">
        <v>1.6557300367524199</v>
      </c>
      <c r="E1741">
        <v>1.97888406281323</v>
      </c>
      <c r="F1741">
        <v>1.50831941196124</v>
      </c>
      <c r="G1741">
        <v>1.65813564984965</v>
      </c>
      <c r="H1741">
        <v>0.94845305713331096</v>
      </c>
      <c r="I1741">
        <v>1.5219512195122</v>
      </c>
      <c r="J1741">
        <v>1.52836618777147</v>
      </c>
      <c r="K1741">
        <v>1.3726695623120599</v>
      </c>
      <c r="L1741">
        <v>10783.366078340099</v>
      </c>
      <c r="M1741">
        <v>250</v>
      </c>
      <c r="O1741">
        <v>43.1307040492133</v>
      </c>
      <c r="P1741">
        <v>0.72454184830352797</v>
      </c>
      <c r="Q1741">
        <v>1.5</v>
      </c>
      <c r="R1741">
        <v>0.37205994392370201</v>
      </c>
      <c r="S1741" t="s">
        <v>3615</v>
      </c>
      <c r="T1741" t="s">
        <v>3746</v>
      </c>
      <c r="U1741" t="s">
        <v>3746</v>
      </c>
      <c r="V1741" t="s">
        <v>3746</v>
      </c>
      <c r="W1741" t="s">
        <v>5475</v>
      </c>
      <c r="X1741">
        <v>8</v>
      </c>
      <c r="Y1741" t="s">
        <v>7260</v>
      </c>
      <c r="Z1741" t="s">
        <v>9129</v>
      </c>
      <c r="AA1741">
        <v>1.447737745490375</v>
      </c>
      <c r="AB1741" t="str">
        <f>HYPERLINK("Melting_Curves/meltCurve_Q9H3G5_CPVL.pdf", "Melting_Curves/meltCurve_Q9H3G5_CPVL.pdf")</f>
        <v>Melting_Curves/meltCurve_Q9H3G5_CPVL.pdf</v>
      </c>
    </row>
    <row r="1742" spans="1:28" x14ac:dyDescent="0.25">
      <c r="A1742" t="s">
        <v>1746</v>
      </c>
      <c r="B1742">
        <v>1</v>
      </c>
      <c r="C1742">
        <v>1.08130394946231</v>
      </c>
      <c r="D1742">
        <v>1.4520422433331699</v>
      </c>
      <c r="E1742">
        <v>1.8885566861166001</v>
      </c>
      <c r="F1742">
        <v>1.4108115928051299</v>
      </c>
      <c r="G1742">
        <v>1.57366060664513</v>
      </c>
      <c r="H1742">
        <v>1.05888026233303</v>
      </c>
      <c r="I1742">
        <v>1.55822925206153</v>
      </c>
      <c r="J1742">
        <v>1.37686261272122</v>
      </c>
      <c r="K1742">
        <v>1.3548729324396001</v>
      </c>
      <c r="L1742">
        <v>3685.0162207230401</v>
      </c>
      <c r="M1742">
        <v>84.357969242633501</v>
      </c>
      <c r="O1742">
        <v>43.658553399339098</v>
      </c>
      <c r="P1742">
        <v>0.222231352185111</v>
      </c>
      <c r="Q1742">
        <v>1.4600536618081299</v>
      </c>
      <c r="R1742">
        <v>0.42266078277019498</v>
      </c>
      <c r="S1742" t="s">
        <v>3616</v>
      </c>
      <c r="T1742" t="s">
        <v>3746</v>
      </c>
      <c r="U1742" t="s">
        <v>3746</v>
      </c>
      <c r="V1742" t="s">
        <v>3746</v>
      </c>
      <c r="W1742" t="s">
        <v>5476</v>
      </c>
      <c r="X1742">
        <v>4</v>
      </c>
      <c r="Y1742" t="s">
        <v>7261</v>
      </c>
      <c r="Z1742" t="s">
        <v>9130</v>
      </c>
      <c r="AA1742">
        <v>1.403260073322232</v>
      </c>
      <c r="AB1742" t="str">
        <f>HYPERLINK("Melting_Curves/meltCurve_Q9H3K6_BOLA2.pdf", "Melting_Curves/meltCurve_Q9H3K6_BOLA2.pdf")</f>
        <v>Melting_Curves/meltCurve_Q9H3K6_BOLA2.pdf</v>
      </c>
    </row>
    <row r="1743" spans="1:28" x14ac:dyDescent="0.25">
      <c r="A1743" t="s">
        <v>1747</v>
      </c>
      <c r="B1743">
        <v>1</v>
      </c>
      <c r="C1743">
        <v>0.89507475006878801</v>
      </c>
      <c r="D1743">
        <v>1.3270200862148001</v>
      </c>
      <c r="E1743">
        <v>1.4194029166284501</v>
      </c>
      <c r="F1743">
        <v>0.94315784646427603</v>
      </c>
      <c r="G1743">
        <v>1.16635329725764</v>
      </c>
      <c r="H1743">
        <v>0.57628634320829097</v>
      </c>
      <c r="I1743">
        <v>1.0861460148583</v>
      </c>
      <c r="J1743">
        <v>0.86687150325598505</v>
      </c>
      <c r="K1743">
        <v>0.97590112812987295</v>
      </c>
      <c r="L1743">
        <v>2581.2256904636401</v>
      </c>
      <c r="M1743">
        <v>44.129166982981303</v>
      </c>
      <c r="O1743">
        <v>58.372777449530503</v>
      </c>
      <c r="P1743">
        <v>-2.0043327562461501E-2</v>
      </c>
      <c r="Q1743">
        <v>0.89394923616510602</v>
      </c>
      <c r="R1743">
        <v>6.7987356766507606E-2</v>
      </c>
      <c r="S1743" t="s">
        <v>3617</v>
      </c>
      <c r="T1743" t="s">
        <v>3746</v>
      </c>
      <c r="U1743" t="s">
        <v>3746</v>
      </c>
      <c r="V1743" t="s">
        <v>3746</v>
      </c>
      <c r="W1743" t="s">
        <v>5477</v>
      </c>
      <c r="X1743">
        <v>1</v>
      </c>
      <c r="Y1743" t="s">
        <v>7262</v>
      </c>
      <c r="Z1743" t="s">
        <v>9131</v>
      </c>
      <c r="AA1743">
        <v>0.95966753896686008</v>
      </c>
      <c r="AB1743" t="str">
        <f>HYPERLINK("Melting_Curves/meltCurve_Q9H3Z4_2_DNAJC5.pdf", "Melting_Curves/meltCurve_Q9H3Z4_2_DNAJC5.pdf")</f>
        <v>Melting_Curves/meltCurve_Q9H3Z4_2_DNAJC5.pdf</v>
      </c>
    </row>
    <row r="1744" spans="1:28" x14ac:dyDescent="0.25">
      <c r="A1744" t="s">
        <v>1748</v>
      </c>
      <c r="B1744">
        <v>1</v>
      </c>
      <c r="C1744">
        <v>0.84620193136747701</v>
      </c>
      <c r="D1744">
        <v>1.1233186756337299</v>
      </c>
      <c r="E1744">
        <v>1.3460725987239199</v>
      </c>
      <c r="F1744">
        <v>0.82639248146232103</v>
      </c>
      <c r="G1744">
        <v>0.71620106914985304</v>
      </c>
      <c r="H1744">
        <v>0.72684945680289703</v>
      </c>
      <c r="I1744">
        <v>0.85169856871874505</v>
      </c>
      <c r="J1744">
        <v>1.02621141576134</v>
      </c>
      <c r="K1744">
        <v>0.96964993964476598</v>
      </c>
      <c r="L1744">
        <v>6330.6913175214804</v>
      </c>
      <c r="M1744">
        <v>121.79044963050499</v>
      </c>
      <c r="O1744">
        <v>51.966162900167802</v>
      </c>
      <c r="P1744">
        <v>-8.6912371450806505E-2</v>
      </c>
      <c r="Q1744">
        <v>0.85166310917907495</v>
      </c>
      <c r="R1744">
        <v>0.28657927974919001</v>
      </c>
      <c r="S1744" t="s">
        <v>3618</v>
      </c>
      <c r="T1744" t="s">
        <v>3746</v>
      </c>
      <c r="U1744" t="s">
        <v>3746</v>
      </c>
      <c r="V1744" t="s">
        <v>3746</v>
      </c>
      <c r="W1744" t="s">
        <v>5478</v>
      </c>
      <c r="X1744">
        <v>8</v>
      </c>
      <c r="Y1744" t="s">
        <v>7263</v>
      </c>
      <c r="Z1744" t="s">
        <v>9132</v>
      </c>
      <c r="AA1744">
        <v>0.91095699715588929</v>
      </c>
      <c r="AB1744" t="str">
        <f>HYPERLINK("Melting_Curves/meltCurve_Q9H444_CHMP4B.pdf", "Melting_Curves/meltCurve_Q9H444_CHMP4B.pdf")</f>
        <v>Melting_Curves/meltCurve_Q9H444_CHMP4B.pdf</v>
      </c>
    </row>
    <row r="1745" spans="1:28" x14ac:dyDescent="0.25">
      <c r="A1745" t="s">
        <v>1749</v>
      </c>
      <c r="B1745">
        <v>1</v>
      </c>
      <c r="C1745">
        <v>0.95497861484205004</v>
      </c>
      <c r="D1745">
        <v>1.7903504164478099</v>
      </c>
      <c r="E1745">
        <v>2.5885420574773002</v>
      </c>
      <c r="F1745">
        <v>2.5731597508816701</v>
      </c>
      <c r="G1745">
        <v>4.0125309522023</v>
      </c>
      <c r="H1745">
        <v>1.9723118481278601</v>
      </c>
      <c r="I1745">
        <v>3.1203571696555898</v>
      </c>
      <c r="J1745">
        <v>2.8988144368575099</v>
      </c>
      <c r="K1745">
        <v>3.0637052599985002</v>
      </c>
      <c r="L1745">
        <v>11059.1422788993</v>
      </c>
      <c r="M1745">
        <v>250</v>
      </c>
      <c r="O1745">
        <v>44.233738828590901</v>
      </c>
      <c r="P1745">
        <v>0.70647431711067599</v>
      </c>
      <c r="Q1745">
        <v>1.5</v>
      </c>
      <c r="R1745">
        <v>-0.885921221449394</v>
      </c>
      <c r="S1745" t="s">
        <v>3619</v>
      </c>
      <c r="T1745" t="s">
        <v>3746</v>
      </c>
      <c r="U1745" t="s">
        <v>3746</v>
      </c>
      <c r="V1745" t="s">
        <v>3746</v>
      </c>
      <c r="W1745" t="s">
        <v>5479</v>
      </c>
      <c r="X1745">
        <v>1</v>
      </c>
      <c r="Y1745" t="s">
        <v>7264</v>
      </c>
      <c r="Z1745" t="s">
        <v>9133</v>
      </c>
      <c r="AA1745">
        <v>1.429351697494875</v>
      </c>
      <c r="AB1745" t="str">
        <f>HYPERLINK("Melting_Curves/meltCurve_Q9H479_FN3K.pdf", "Melting_Curves/meltCurve_Q9H479_FN3K.pdf")</f>
        <v>Melting_Curves/meltCurve_Q9H479_FN3K.pdf</v>
      </c>
    </row>
    <row r="1746" spans="1:28" x14ac:dyDescent="0.25">
      <c r="A1746" t="s">
        <v>1750</v>
      </c>
      <c r="B1746">
        <v>1</v>
      </c>
      <c r="C1746">
        <v>0.93292621884072502</v>
      </c>
      <c r="D1746">
        <v>1.1967664430874001</v>
      </c>
      <c r="E1746">
        <v>1.40624687155871</v>
      </c>
      <c r="F1746">
        <v>1.0825407948743599</v>
      </c>
      <c r="G1746">
        <v>1.1473120432475701</v>
      </c>
      <c r="H1746">
        <v>0.66743417759535495</v>
      </c>
      <c r="I1746">
        <v>0.98583441785964598</v>
      </c>
      <c r="J1746">
        <v>1.0836420062068299</v>
      </c>
      <c r="K1746">
        <v>1.0007007708479301</v>
      </c>
      <c r="L1746">
        <v>11086.634063953599</v>
      </c>
      <c r="M1746">
        <v>250</v>
      </c>
      <c r="O1746">
        <v>44.343698600181298</v>
      </c>
      <c r="P1746">
        <v>0.100503208998705</v>
      </c>
      <c r="Q1746">
        <v>1.07130694367997</v>
      </c>
      <c r="R1746">
        <v>4.6578664597711997E-2</v>
      </c>
      <c r="S1746" t="s">
        <v>3620</v>
      </c>
      <c r="T1746" t="s">
        <v>3746</v>
      </c>
      <c r="U1746" t="s">
        <v>3746</v>
      </c>
      <c r="V1746" t="s">
        <v>3746</v>
      </c>
      <c r="W1746" t="s">
        <v>5480</v>
      </c>
      <c r="X1746">
        <v>5</v>
      </c>
      <c r="Y1746" t="s">
        <v>7265</v>
      </c>
      <c r="Z1746" t="s">
        <v>9134</v>
      </c>
      <c r="AA1746">
        <v>1.0609701201736259</v>
      </c>
      <c r="AB1746" t="str">
        <f>HYPERLINK("Melting_Curves/meltCurve_Q9H4F8_SMOC1.pdf", "Melting_Curves/meltCurve_Q9H4F8_SMOC1.pdf")</f>
        <v>Melting_Curves/meltCurve_Q9H4F8_SMOC1.pdf</v>
      </c>
    </row>
    <row r="1747" spans="1:28" x14ac:dyDescent="0.25">
      <c r="A1747" t="s">
        <v>1751</v>
      </c>
      <c r="B1747">
        <v>1</v>
      </c>
      <c r="C1747">
        <v>0.84130561816512195</v>
      </c>
      <c r="D1747">
        <v>1.29157692628767</v>
      </c>
      <c r="E1747">
        <v>1.6921278904749999</v>
      </c>
      <c r="F1747">
        <v>1.0608231071041001</v>
      </c>
      <c r="G1747">
        <v>1.13987812004341</v>
      </c>
      <c r="H1747">
        <v>0.67349528341263898</v>
      </c>
      <c r="I1747">
        <v>1.37435512146256</v>
      </c>
      <c r="J1747">
        <v>1.51812338258619</v>
      </c>
      <c r="K1747">
        <v>1.4146088989064201</v>
      </c>
      <c r="L1747">
        <v>220.59631262798499</v>
      </c>
      <c r="M1747">
        <v>3.6906326131428702</v>
      </c>
      <c r="O1747">
        <v>47.768659977472097</v>
      </c>
      <c r="P1747">
        <v>9.8177285426714906E-3</v>
      </c>
      <c r="Q1747">
        <v>1.5</v>
      </c>
      <c r="R1747">
        <v>9.5834363795671798E-2</v>
      </c>
      <c r="S1747" t="s">
        <v>3621</v>
      </c>
      <c r="T1747" t="s">
        <v>3746</v>
      </c>
      <c r="U1747" t="s">
        <v>3746</v>
      </c>
      <c r="V1747" t="s">
        <v>3746</v>
      </c>
      <c r="W1747" t="s">
        <v>5481</v>
      </c>
      <c r="X1747">
        <v>4</v>
      </c>
      <c r="Y1747" t="s">
        <v>7266</v>
      </c>
      <c r="Z1747" t="s">
        <v>9135</v>
      </c>
      <c r="AA1747">
        <v>1.203512695253294</v>
      </c>
      <c r="AB1747" t="str">
        <f>HYPERLINK("Melting_Curves/meltCurve_Q9H4G4_GLIPR2.pdf", "Melting_Curves/meltCurve_Q9H4G4_GLIPR2.pdf")</f>
        <v>Melting_Curves/meltCurve_Q9H4G4_GLIPR2.pdf</v>
      </c>
    </row>
    <row r="1748" spans="1:28" x14ac:dyDescent="0.25">
      <c r="A1748" t="s">
        <v>1752</v>
      </c>
      <c r="B1748">
        <v>1</v>
      </c>
      <c r="C1748">
        <v>0.95711883408071796</v>
      </c>
      <c r="D1748">
        <v>1.3264333760410001</v>
      </c>
      <c r="E1748">
        <v>1.68429692504805</v>
      </c>
      <c r="F1748">
        <v>1.2216127482383099</v>
      </c>
      <c r="G1748">
        <v>1.5164157591287599</v>
      </c>
      <c r="H1748">
        <v>1.08484144778988</v>
      </c>
      <c r="I1748">
        <v>1.8143818065342701</v>
      </c>
      <c r="J1748">
        <v>1.8195868033311999</v>
      </c>
      <c r="K1748">
        <v>1.65474855861627</v>
      </c>
      <c r="L1748">
        <v>11470.943441982299</v>
      </c>
      <c r="M1748">
        <v>250</v>
      </c>
      <c r="O1748">
        <v>45.8808212718032</v>
      </c>
      <c r="P1748">
        <v>0.681112239245109</v>
      </c>
      <c r="Q1748">
        <v>1.5</v>
      </c>
      <c r="R1748">
        <v>0.48869710499699698</v>
      </c>
      <c r="S1748" t="s">
        <v>3622</v>
      </c>
      <c r="T1748" t="s">
        <v>3746</v>
      </c>
      <c r="U1748" t="s">
        <v>3746</v>
      </c>
      <c r="V1748" t="s">
        <v>3746</v>
      </c>
      <c r="W1748" t="s">
        <v>5482</v>
      </c>
      <c r="X1748">
        <v>5</v>
      </c>
      <c r="Y1748" t="s">
        <v>7267</v>
      </c>
      <c r="Z1748" t="s">
        <v>9136</v>
      </c>
      <c r="AA1748">
        <v>1.401896841213421</v>
      </c>
      <c r="AB1748" t="str">
        <f>HYPERLINK("Melting_Curves/meltCurve_Q9H6S3_EPS8L2.pdf", "Melting_Curves/meltCurve_Q9H6S3_EPS8L2.pdf")</f>
        <v>Melting_Curves/meltCurve_Q9H6S3_EPS8L2.pdf</v>
      </c>
    </row>
    <row r="1749" spans="1:28" x14ac:dyDescent="0.25">
      <c r="A1749" t="s">
        <v>1753</v>
      </c>
      <c r="B1749">
        <v>1</v>
      </c>
      <c r="C1749">
        <v>1.1296833064948999</v>
      </c>
      <c r="D1749">
        <v>1.3706924315619999</v>
      </c>
      <c r="E1749">
        <v>1.40472356414385</v>
      </c>
      <c r="F1749">
        <v>1.09264626945786</v>
      </c>
      <c r="G1749">
        <v>1.16435856146001</v>
      </c>
      <c r="H1749">
        <v>0.49046698872785799</v>
      </c>
      <c r="I1749">
        <v>1.1062801932367201</v>
      </c>
      <c r="J1749">
        <v>0.95279656468062301</v>
      </c>
      <c r="K1749">
        <v>0.973075684380032</v>
      </c>
      <c r="L1749">
        <v>10236.8765645109</v>
      </c>
      <c r="M1749">
        <v>250</v>
      </c>
      <c r="O1749">
        <v>40.944886593278397</v>
      </c>
      <c r="P1749">
        <v>0.116132275551838</v>
      </c>
      <c r="Q1749">
        <v>1.07608036423961</v>
      </c>
      <c r="R1749">
        <v>8.9719593542782992E-3</v>
      </c>
      <c r="S1749" t="s">
        <v>3623</v>
      </c>
      <c r="T1749" t="s">
        <v>3746</v>
      </c>
      <c r="U1749" t="s">
        <v>3746</v>
      </c>
      <c r="V1749" t="s">
        <v>3746</v>
      </c>
      <c r="W1749" t="s">
        <v>5483</v>
      </c>
      <c r="X1749">
        <v>1</v>
      </c>
      <c r="Y1749" t="s">
        <v>7268</v>
      </c>
      <c r="Z1749" t="s">
        <v>9137</v>
      </c>
      <c r="AA1749">
        <v>1.073670956876563</v>
      </c>
      <c r="AB1749" t="str">
        <f>HYPERLINK("Melting_Curves/meltCurve_Q9H741_C12orf49.pdf", "Melting_Curves/meltCurve_Q9H741_C12orf49.pdf")</f>
        <v>Melting_Curves/meltCurve_Q9H741_C12orf49.pdf</v>
      </c>
    </row>
    <row r="1750" spans="1:28" x14ac:dyDescent="0.25">
      <c r="A1750" t="s">
        <v>1754</v>
      </c>
      <c r="B1750">
        <v>1</v>
      </c>
      <c r="C1750">
        <v>0.76896266672624503</v>
      </c>
      <c r="D1750">
        <v>0.94754127661475895</v>
      </c>
      <c r="E1750">
        <v>1.1368216448088699</v>
      </c>
      <c r="F1750">
        <v>0.63741370450635604</v>
      </c>
      <c r="G1750">
        <v>0.79907951473446703</v>
      </c>
      <c r="H1750">
        <v>0.55139748430483304</v>
      </c>
      <c r="I1750">
        <v>0.89526128823253404</v>
      </c>
      <c r="J1750">
        <v>0.87904108670881798</v>
      </c>
      <c r="K1750">
        <v>0.72754082977725198</v>
      </c>
      <c r="L1750">
        <v>430.31839932881599</v>
      </c>
      <c r="M1750">
        <v>8.7690746805668507</v>
      </c>
      <c r="O1750">
        <v>46.720961887530699</v>
      </c>
      <c r="P1750">
        <v>-1.2203791993785299E-2</v>
      </c>
      <c r="Q1750">
        <v>0.74012471708776795</v>
      </c>
      <c r="R1750">
        <v>0.16265313207127999</v>
      </c>
      <c r="S1750" t="s">
        <v>3624</v>
      </c>
      <c r="T1750" t="s">
        <v>3746</v>
      </c>
      <c r="U1750" t="s">
        <v>3746</v>
      </c>
      <c r="V1750" t="s">
        <v>3746</v>
      </c>
      <c r="W1750" t="s">
        <v>5484</v>
      </c>
      <c r="X1750">
        <v>6</v>
      </c>
      <c r="Y1750" t="s">
        <v>7269</v>
      </c>
      <c r="Z1750" t="s">
        <v>9138</v>
      </c>
      <c r="AA1750">
        <v>0.83388925283453597</v>
      </c>
      <c r="AB1750" t="str">
        <f>HYPERLINK("Melting_Curves/meltCurve_Q9H772_GREM2.pdf", "Melting_Curves/meltCurve_Q9H772_GREM2.pdf")</f>
        <v>Melting_Curves/meltCurve_Q9H772_GREM2.pdf</v>
      </c>
    </row>
    <row r="1751" spans="1:28" x14ac:dyDescent="0.25">
      <c r="A1751" t="s">
        <v>1755</v>
      </c>
      <c r="B1751">
        <v>1</v>
      </c>
      <c r="C1751">
        <v>1.1010176138476599</v>
      </c>
      <c r="D1751">
        <v>1.9344129280908799</v>
      </c>
      <c r="E1751">
        <v>1.8905980594340599</v>
      </c>
      <c r="F1751">
        <v>1.32553500794483</v>
      </c>
      <c r="G1751">
        <v>1.60806653368944</v>
      </c>
      <c r="H1751">
        <v>1.0616653707021899</v>
      </c>
      <c r="I1751">
        <v>1.33104567429595</v>
      </c>
      <c r="J1751">
        <v>1.38070928699415</v>
      </c>
      <c r="K1751">
        <v>1.5019101389499301</v>
      </c>
      <c r="L1751">
        <v>10783.9281677993</v>
      </c>
      <c r="M1751">
        <v>250</v>
      </c>
      <c r="O1751">
        <v>43.132952264482903</v>
      </c>
      <c r="P1751">
        <v>0.72450408309132697</v>
      </c>
      <c r="Q1751">
        <v>1.5</v>
      </c>
      <c r="R1751">
        <v>0.35096809961939601</v>
      </c>
      <c r="S1751" t="s">
        <v>3625</v>
      </c>
      <c r="T1751" t="s">
        <v>3746</v>
      </c>
      <c r="U1751" t="s">
        <v>3746</v>
      </c>
      <c r="V1751" t="s">
        <v>3746</v>
      </c>
      <c r="W1751" t="s">
        <v>5485</v>
      </c>
      <c r="X1751">
        <v>3</v>
      </c>
      <c r="Y1751" t="s">
        <v>7270</v>
      </c>
      <c r="Z1751" t="s">
        <v>9139</v>
      </c>
      <c r="AA1751">
        <v>1.4477002708869531</v>
      </c>
      <c r="AB1751" t="str">
        <f>HYPERLINK("Melting_Curves/meltCurve_Q9H773_DCTPP1.pdf", "Melting_Curves/meltCurve_Q9H773_DCTPP1.pdf")</f>
        <v>Melting_Curves/meltCurve_Q9H773_DCTPP1.pdf</v>
      </c>
    </row>
    <row r="1752" spans="1:28" x14ac:dyDescent="0.25">
      <c r="A1752" t="s">
        <v>1756</v>
      </c>
      <c r="B1752">
        <v>1</v>
      </c>
      <c r="C1752">
        <v>0.81938935067072705</v>
      </c>
      <c r="D1752">
        <v>1.1921652538885701</v>
      </c>
      <c r="E1752">
        <v>1.2669739116122101</v>
      </c>
      <c r="F1752">
        <v>1.1621265739445299</v>
      </c>
      <c r="G1752">
        <v>1.60727512138919</v>
      </c>
      <c r="H1752">
        <v>2.3972512550407399</v>
      </c>
      <c r="I1752">
        <v>0.59725125504073695</v>
      </c>
      <c r="J1752">
        <v>5.6592050037034003</v>
      </c>
      <c r="K1752">
        <v>3.78084108303843</v>
      </c>
      <c r="L1752">
        <v>1455.3272955134701</v>
      </c>
      <c r="M1752">
        <v>28.6375160513041</v>
      </c>
      <c r="O1752">
        <v>50.573035244992198</v>
      </c>
      <c r="P1752">
        <v>7.0783120633678406E-2</v>
      </c>
      <c r="Q1752">
        <v>1.5</v>
      </c>
      <c r="R1752">
        <v>-5.0383934511919498E-2</v>
      </c>
      <c r="S1752" t="s">
        <v>3626</v>
      </c>
      <c r="T1752" t="s">
        <v>3746</v>
      </c>
      <c r="U1752" t="s">
        <v>3746</v>
      </c>
      <c r="V1752" t="s">
        <v>3746</v>
      </c>
      <c r="W1752" t="s">
        <v>5486</v>
      </c>
      <c r="X1752">
        <v>1</v>
      </c>
      <c r="Y1752" t="s">
        <v>7271</v>
      </c>
      <c r="Z1752" t="s">
        <v>9140</v>
      </c>
      <c r="AA1752">
        <v>1.3162444964779449</v>
      </c>
      <c r="AB1752" t="str">
        <f>HYPERLINK("Melting_Curves/meltCurve_Q9H813_TMEM206.pdf", "Melting_Curves/meltCurve_Q9H813_TMEM206.pdf")</f>
        <v>Melting_Curves/meltCurve_Q9H813_TMEM206.pdf</v>
      </c>
    </row>
    <row r="1753" spans="1:28" x14ac:dyDescent="0.25">
      <c r="A1753" t="s">
        <v>1757</v>
      </c>
      <c r="B1753">
        <v>1</v>
      </c>
      <c r="C1753">
        <v>1.08529609199428</v>
      </c>
      <c r="D1753">
        <v>1.2226454192569201</v>
      </c>
      <c r="E1753">
        <v>1.41968012141377</v>
      </c>
      <c r="F1753">
        <v>1.0297843154423101</v>
      </c>
      <c r="G1753">
        <v>1.16173423226221</v>
      </c>
      <c r="H1753">
        <v>0.637743338294954</v>
      </c>
      <c r="I1753">
        <v>1.0228672328751101</v>
      </c>
      <c r="J1753">
        <v>0.958949887633891</v>
      </c>
      <c r="K1753">
        <v>0.87228205352712795</v>
      </c>
      <c r="L1753">
        <v>2719.0279642476498</v>
      </c>
      <c r="M1753">
        <v>46.299007503554499</v>
      </c>
      <c r="O1753">
        <v>58.6183175625102</v>
      </c>
      <c r="P1753">
        <v>-2.2393807445329799E-2</v>
      </c>
      <c r="Q1753">
        <v>0.88659058848589001</v>
      </c>
      <c r="R1753">
        <v>7.8877621238398796E-2</v>
      </c>
      <c r="S1753" t="s">
        <v>3627</v>
      </c>
      <c r="T1753" t="s">
        <v>3746</v>
      </c>
      <c r="U1753" t="s">
        <v>3746</v>
      </c>
      <c r="V1753" t="s">
        <v>3746</v>
      </c>
      <c r="W1753" t="s">
        <v>5487</v>
      </c>
      <c r="X1753">
        <v>4</v>
      </c>
      <c r="Y1753" t="s">
        <v>7272</v>
      </c>
      <c r="Z1753" t="s">
        <v>9141</v>
      </c>
      <c r="AA1753">
        <v>0.95772545604956727</v>
      </c>
      <c r="AB1753" t="str">
        <f>HYPERLINK("Melting_Curves/meltCurve_Q9H8J5_MANSC1.pdf", "Melting_Curves/meltCurve_Q9H8J5_MANSC1.pdf")</f>
        <v>Melting_Curves/meltCurve_Q9H8J5_MANSC1.pdf</v>
      </c>
    </row>
    <row r="1754" spans="1:28" x14ac:dyDescent="0.25">
      <c r="A1754" t="s">
        <v>1758</v>
      </c>
      <c r="B1754">
        <v>1</v>
      </c>
      <c r="C1754">
        <v>1.2706230882246701</v>
      </c>
      <c r="D1754">
        <v>1.38009104265517</v>
      </c>
      <c r="E1754">
        <v>2.1467280040463401</v>
      </c>
      <c r="F1754">
        <v>1.78701317469111</v>
      </c>
      <c r="G1754">
        <v>1.8834750355259</v>
      </c>
      <c r="H1754">
        <v>1.42031359136781</v>
      </c>
      <c r="I1754">
        <v>1.82639273585587</v>
      </c>
      <c r="J1754">
        <v>2.37818829933284</v>
      </c>
      <c r="K1754">
        <v>1.80134396300489</v>
      </c>
      <c r="L1754">
        <v>1807.73793121527</v>
      </c>
      <c r="M1754">
        <v>42.1729920335099</v>
      </c>
      <c r="O1754">
        <v>42.768783885666799</v>
      </c>
      <c r="P1754">
        <v>0.12325889691080499</v>
      </c>
      <c r="Q1754">
        <v>1.5</v>
      </c>
      <c r="R1754">
        <v>-3.3502083752227997E-2</v>
      </c>
      <c r="S1754" t="s">
        <v>3628</v>
      </c>
      <c r="T1754" t="s">
        <v>3746</v>
      </c>
      <c r="U1754" t="s">
        <v>3746</v>
      </c>
      <c r="V1754" t="s">
        <v>3746</v>
      </c>
      <c r="W1754" t="s">
        <v>5488</v>
      </c>
      <c r="X1754">
        <v>1</v>
      </c>
      <c r="Y1754" t="s">
        <v>7273</v>
      </c>
      <c r="Z1754" t="s">
        <v>9142</v>
      </c>
      <c r="AA1754">
        <v>1.4502479597273019</v>
      </c>
      <c r="AB1754" t="str">
        <f>HYPERLINK("Melting_Curves/meltCurve_Q9H8M7_2_FAM188A.pdf", "Melting_Curves/meltCurve_Q9H8M7_2_FAM188A.pdf")</f>
        <v>Melting_Curves/meltCurve_Q9H8M7_2_FAM188A.pdf</v>
      </c>
    </row>
    <row r="1755" spans="1:28" x14ac:dyDescent="0.25">
      <c r="A1755" t="s">
        <v>1759</v>
      </c>
      <c r="B1755">
        <v>1</v>
      </c>
      <c r="C1755">
        <v>0.99532814735336195</v>
      </c>
      <c r="D1755">
        <v>1.67851394849785</v>
      </c>
      <c r="E1755">
        <v>2.0616505722460698</v>
      </c>
      <c r="F1755">
        <v>1.40848533619456</v>
      </c>
      <c r="G1755">
        <v>1.97436069384835</v>
      </c>
      <c r="H1755">
        <v>1.5146638054363399</v>
      </c>
      <c r="I1755">
        <v>2.33290861945637</v>
      </c>
      <c r="J1755">
        <v>2.1737526824034301</v>
      </c>
      <c r="K1755">
        <v>2.1375402360515001</v>
      </c>
      <c r="L1755">
        <v>11021.854155373099</v>
      </c>
      <c r="M1755">
        <v>250</v>
      </c>
      <c r="O1755">
        <v>44.0845956966945</v>
      </c>
      <c r="P1755">
        <v>0.70886439606141705</v>
      </c>
      <c r="Q1755">
        <v>1.5</v>
      </c>
      <c r="R1755">
        <v>-6.5549435361513799E-3</v>
      </c>
      <c r="S1755" t="s">
        <v>3629</v>
      </c>
      <c r="T1755" t="s">
        <v>3746</v>
      </c>
      <c r="U1755" t="s">
        <v>3746</v>
      </c>
      <c r="V1755" t="s">
        <v>3746</v>
      </c>
      <c r="W1755" t="s">
        <v>5489</v>
      </c>
      <c r="X1755">
        <v>2</v>
      </c>
      <c r="Y1755" t="s">
        <v>7274</v>
      </c>
      <c r="Z1755" t="s">
        <v>9143</v>
      </c>
      <c r="AA1755">
        <v>1.431837703276754</v>
      </c>
      <c r="AB1755" t="str">
        <f>HYPERLINK("Melting_Curves/meltCurve_Q9H8S9_MOB1A.pdf", "Melting_Curves/meltCurve_Q9H8S9_MOB1A.pdf")</f>
        <v>Melting_Curves/meltCurve_Q9H8S9_MOB1A.pdf</v>
      </c>
    </row>
    <row r="1756" spans="1:28" x14ac:dyDescent="0.25">
      <c r="A1756" t="s">
        <v>1760</v>
      </c>
      <c r="B1756">
        <v>1</v>
      </c>
      <c r="C1756">
        <v>1.13757941294733</v>
      </c>
      <c r="D1756">
        <v>1.3970566948130301</v>
      </c>
      <c r="E1756">
        <v>1.54332127060716</v>
      </c>
      <c r="F1756">
        <v>1.2808845999195799</v>
      </c>
      <c r="G1756">
        <v>1.50681141938078</v>
      </c>
      <c r="H1756">
        <v>1.40743063932449</v>
      </c>
      <c r="I1756">
        <v>3.0944913550462401</v>
      </c>
      <c r="J1756">
        <v>3.4095697627663899</v>
      </c>
      <c r="K1756">
        <v>3.1414555689585799</v>
      </c>
      <c r="L1756">
        <v>1527.3967127524099</v>
      </c>
      <c r="M1756">
        <v>34.599759380278101</v>
      </c>
      <c r="O1756">
        <v>43.998036717002499</v>
      </c>
      <c r="P1756">
        <v>9.8299520179338795E-2</v>
      </c>
      <c r="Q1756">
        <v>1.5</v>
      </c>
      <c r="R1756">
        <v>-0.14670118251189501</v>
      </c>
      <c r="S1756" t="s">
        <v>3630</v>
      </c>
      <c r="T1756" t="s">
        <v>3746</v>
      </c>
      <c r="U1756" t="s">
        <v>3746</v>
      </c>
      <c r="V1756" t="s">
        <v>3746</v>
      </c>
      <c r="W1756" t="s">
        <v>5490</v>
      </c>
      <c r="X1756">
        <v>2</v>
      </c>
      <c r="Y1756" t="s">
        <v>7275</v>
      </c>
      <c r="Z1756" t="s">
        <v>9144</v>
      </c>
      <c r="AA1756">
        <v>1.4284214136357269</v>
      </c>
      <c r="AB1756" t="str">
        <f>HYPERLINK("Melting_Curves/meltCurve_Q9HAB8_PPCS.pdf", "Melting_Curves/meltCurve_Q9HAB8_PPCS.pdf")</f>
        <v>Melting_Curves/meltCurve_Q9HAB8_PPCS.pdf</v>
      </c>
    </row>
    <row r="1757" spans="1:28" x14ac:dyDescent="0.25">
      <c r="A1757" t="s">
        <v>1761</v>
      </c>
      <c r="B1757">
        <v>1</v>
      </c>
      <c r="C1757">
        <v>1.0247308958277701</v>
      </c>
      <c r="D1757">
        <v>1.6073303086913999</v>
      </c>
      <c r="E1757">
        <v>1.68499243839516</v>
      </c>
      <c r="F1757">
        <v>1.1437594520060499</v>
      </c>
      <c r="G1757">
        <v>1.3732763988968999</v>
      </c>
      <c r="H1757">
        <v>0.598638911128903</v>
      </c>
      <c r="I1757">
        <v>1.1732052308513501</v>
      </c>
      <c r="J1757">
        <v>1.10790854906147</v>
      </c>
      <c r="K1757">
        <v>1.0692998843519299</v>
      </c>
      <c r="L1757">
        <v>10813.599356508899</v>
      </c>
      <c r="M1757">
        <v>250</v>
      </c>
      <c r="O1757">
        <v>43.2516279299834</v>
      </c>
      <c r="P1757">
        <v>0.31762007594922298</v>
      </c>
      <c r="Q1757">
        <v>1.2198013729459201</v>
      </c>
      <c r="R1757">
        <v>7.7852782701283194E-2</v>
      </c>
      <c r="S1757" t="s">
        <v>3631</v>
      </c>
      <c r="T1757" t="s">
        <v>3746</v>
      </c>
      <c r="U1757" t="s">
        <v>3746</v>
      </c>
      <c r="V1757" t="s">
        <v>3746</v>
      </c>
      <c r="W1757" t="s">
        <v>5491</v>
      </c>
      <c r="X1757">
        <v>8</v>
      </c>
      <c r="Y1757" t="s">
        <v>7276</v>
      </c>
      <c r="Z1757" t="s">
        <v>9145</v>
      </c>
      <c r="AA1757">
        <v>1.195940653569058</v>
      </c>
      <c r="AB1757" t="str">
        <f>HYPERLINK("Melting_Curves/meltCurve_Q9HAT2_SIAE.pdf", "Melting_Curves/meltCurve_Q9HAT2_SIAE.pdf")</f>
        <v>Melting_Curves/meltCurve_Q9HAT2_SIAE.pdf</v>
      </c>
    </row>
    <row r="1758" spans="1:28" x14ac:dyDescent="0.25">
      <c r="A1758" t="s">
        <v>1762</v>
      </c>
      <c r="B1758">
        <v>1</v>
      </c>
      <c r="C1758">
        <v>0.98084303755945501</v>
      </c>
      <c r="D1758">
        <v>1.5410857798917501</v>
      </c>
      <c r="E1758">
        <v>1.9885189437428199</v>
      </c>
      <c r="F1758">
        <v>1.1524793614345901</v>
      </c>
      <c r="G1758">
        <v>0.93909573014050596</v>
      </c>
      <c r="H1758">
        <v>1.2456399322070999</v>
      </c>
      <c r="I1758">
        <v>1.66376906675414</v>
      </c>
      <c r="J1758">
        <v>2.1527527199168999</v>
      </c>
      <c r="K1758">
        <v>2.1218085397189901</v>
      </c>
      <c r="L1758">
        <v>11083.682880342199</v>
      </c>
      <c r="M1758">
        <v>250</v>
      </c>
      <c r="O1758">
        <v>44.331895603693098</v>
      </c>
      <c r="P1758">
        <v>0.70491009834838103</v>
      </c>
      <c r="Q1758">
        <v>1.5</v>
      </c>
      <c r="R1758">
        <v>0.24562663506137</v>
      </c>
      <c r="S1758" t="s">
        <v>3632</v>
      </c>
      <c r="T1758" t="s">
        <v>3746</v>
      </c>
      <c r="U1758" t="s">
        <v>3746</v>
      </c>
      <c r="V1758" t="s">
        <v>3746</v>
      </c>
      <c r="W1758" t="s">
        <v>5492</v>
      </c>
      <c r="X1758">
        <v>6</v>
      </c>
      <c r="Y1758" t="s">
        <v>7277</v>
      </c>
      <c r="Z1758" t="s">
        <v>9146</v>
      </c>
      <c r="AA1758">
        <v>1.42771557126194</v>
      </c>
      <c r="AB1758" t="str">
        <f>HYPERLINK("Melting_Curves/meltCurve_Q9HAV0_GNB4.pdf", "Melting_Curves/meltCurve_Q9HAV0_GNB4.pdf")</f>
        <v>Melting_Curves/meltCurve_Q9HAV0_GNB4.pdf</v>
      </c>
    </row>
    <row r="1759" spans="1:28" x14ac:dyDescent="0.25">
      <c r="A1759" t="s">
        <v>1763</v>
      </c>
      <c r="B1759">
        <v>1</v>
      </c>
      <c r="C1759">
        <v>1.0275949367088599</v>
      </c>
      <c r="D1759">
        <v>1.4849367088607599</v>
      </c>
      <c r="E1759">
        <v>1.8858860759493701</v>
      </c>
      <c r="F1759">
        <v>1.4210759493670899</v>
      </c>
      <c r="G1759">
        <v>1.63974683544304</v>
      </c>
      <c r="H1759">
        <v>1.08550632911392</v>
      </c>
      <c r="I1759">
        <v>1.86132911392405</v>
      </c>
      <c r="J1759">
        <v>1.9886708860759501</v>
      </c>
      <c r="K1759">
        <v>1.80126582278481</v>
      </c>
      <c r="L1759">
        <v>4056.3482802071999</v>
      </c>
      <c r="M1759">
        <v>91.705303785334806</v>
      </c>
      <c r="O1759">
        <v>44.211406673385603</v>
      </c>
      <c r="P1759">
        <v>0.25928068570940199</v>
      </c>
      <c r="Q1759">
        <v>1.5</v>
      </c>
      <c r="R1759">
        <v>0.36793795244268002</v>
      </c>
      <c r="S1759" t="s">
        <v>3633</v>
      </c>
      <c r="T1759" t="s">
        <v>3746</v>
      </c>
      <c r="U1759" t="s">
        <v>3746</v>
      </c>
      <c r="V1759" t="s">
        <v>3746</v>
      </c>
      <c r="W1759" t="s">
        <v>5493</v>
      </c>
      <c r="X1759">
        <v>7</v>
      </c>
      <c r="Y1759" t="s">
        <v>7278</v>
      </c>
      <c r="Z1759" t="s">
        <v>9147</v>
      </c>
      <c r="AA1759">
        <v>1.429170268595777</v>
      </c>
      <c r="AB1759" t="str">
        <f>HYPERLINK("Melting_Curves/meltCurve_Q9HB40_SCPEP1.pdf", "Melting_Curves/meltCurve_Q9HB40_SCPEP1.pdf")</f>
        <v>Melting_Curves/meltCurve_Q9HB40_SCPEP1.pdf</v>
      </c>
    </row>
    <row r="1760" spans="1:28" x14ac:dyDescent="0.25">
      <c r="A1760" t="s">
        <v>1764</v>
      </c>
      <c r="B1760">
        <v>1</v>
      </c>
      <c r="C1760">
        <v>1.08217734354972</v>
      </c>
      <c r="D1760">
        <v>1.68727034494545</v>
      </c>
      <c r="E1760">
        <v>1.85760674509357</v>
      </c>
      <c r="F1760">
        <v>1.52747315350215</v>
      </c>
      <c r="G1760">
        <v>1.91585723644857</v>
      </c>
      <c r="H1760">
        <v>1.0995812800865901</v>
      </c>
      <c r="I1760">
        <v>1.91414817557752</v>
      </c>
      <c r="J1760">
        <v>1.98635599737944</v>
      </c>
      <c r="K1760">
        <v>1.68143105363603</v>
      </c>
      <c r="L1760">
        <v>10794.762840863301</v>
      </c>
      <c r="M1760">
        <v>250</v>
      </c>
      <c r="O1760">
        <v>43.176275192189401</v>
      </c>
      <c r="P1760">
        <v>0.72377689935700196</v>
      </c>
      <c r="Q1760">
        <v>1.5</v>
      </c>
      <c r="R1760">
        <v>0.28180755468324498</v>
      </c>
      <c r="S1760" t="s">
        <v>3634</v>
      </c>
      <c r="T1760" t="s">
        <v>3746</v>
      </c>
      <c r="U1760" t="s">
        <v>3746</v>
      </c>
      <c r="V1760" t="s">
        <v>3746</v>
      </c>
      <c r="W1760" t="s">
        <v>5494</v>
      </c>
      <c r="X1760">
        <v>2</v>
      </c>
      <c r="Y1760" t="s">
        <v>7279</v>
      </c>
      <c r="Z1760" t="s">
        <v>9148</v>
      </c>
      <c r="AA1760">
        <v>1.4469779213217879</v>
      </c>
      <c r="AB1760" t="str">
        <f>HYPERLINK("Melting_Curves/meltCurve_Q9HB63_3_NTN4.pdf", "Melting_Curves/meltCurve_Q9HB63_3_NTN4.pdf")</f>
        <v>Melting_Curves/meltCurve_Q9HB63_3_NTN4.pdf</v>
      </c>
    </row>
    <row r="1761" spans="1:28" x14ac:dyDescent="0.25">
      <c r="A1761" t="s">
        <v>1765</v>
      </c>
      <c r="B1761">
        <v>1</v>
      </c>
      <c r="C1761">
        <v>1.0963261526729999</v>
      </c>
      <c r="D1761">
        <v>1.53748740434108</v>
      </c>
      <c r="E1761">
        <v>1.9630164220158499</v>
      </c>
      <c r="F1761">
        <v>1.56077235218824</v>
      </c>
      <c r="G1761">
        <v>2.0078161169966502</v>
      </c>
      <c r="H1761">
        <v>0.70317819112720903</v>
      </c>
      <c r="I1761">
        <v>2.3633541218442802</v>
      </c>
      <c r="J1761">
        <v>2.3975326125439098</v>
      </c>
      <c r="K1761">
        <v>2.53193169748632</v>
      </c>
      <c r="L1761">
        <v>10786.4699892427</v>
      </c>
      <c r="M1761">
        <v>250</v>
      </c>
      <c r="O1761">
        <v>43.1431248168631</v>
      </c>
      <c r="P1761">
        <v>0.72433335417808797</v>
      </c>
      <c r="Q1761">
        <v>1.5</v>
      </c>
      <c r="R1761">
        <v>-1.4757894390981401E-2</v>
      </c>
      <c r="S1761" t="s">
        <v>3635</v>
      </c>
      <c r="T1761" t="s">
        <v>3746</v>
      </c>
      <c r="U1761" t="s">
        <v>3746</v>
      </c>
      <c r="V1761" t="s">
        <v>3746</v>
      </c>
      <c r="W1761" t="s">
        <v>5495</v>
      </c>
      <c r="X1761">
        <v>2</v>
      </c>
      <c r="Y1761" t="s">
        <v>7280</v>
      </c>
      <c r="Z1761" t="s">
        <v>9149</v>
      </c>
      <c r="AA1761">
        <v>1.447530807202813</v>
      </c>
      <c r="AB1761" t="str">
        <f>HYPERLINK("Melting_Curves/meltCurve_Q9HB71_3_CACYBP.pdf", "Melting_Curves/meltCurve_Q9HB71_3_CACYBP.pdf")</f>
        <v>Melting_Curves/meltCurve_Q9HB71_3_CACYBP.pdf</v>
      </c>
    </row>
    <row r="1762" spans="1:28" x14ac:dyDescent="0.25">
      <c r="A1762" t="s">
        <v>1766</v>
      </c>
      <c r="B1762">
        <v>1</v>
      </c>
      <c r="C1762">
        <v>1.0925807992357901</v>
      </c>
      <c r="D1762">
        <v>1.2711351695589901</v>
      </c>
      <c r="E1762">
        <v>1.47094411717879</v>
      </c>
      <c r="F1762">
        <v>1.0641617576819</v>
      </c>
      <c r="G1762">
        <v>1.22727272727273</v>
      </c>
      <c r="H1762">
        <v>1.24287533832192</v>
      </c>
      <c r="I1762">
        <v>1.0411558669001799</v>
      </c>
      <c r="J1762">
        <v>0.97205858939659295</v>
      </c>
      <c r="K1762">
        <v>0.95024677599108398</v>
      </c>
      <c r="L1762">
        <v>1.0000000000000001E-5</v>
      </c>
      <c r="M1762">
        <v>1.0000000000000001E-5</v>
      </c>
      <c r="Q1762">
        <v>1.266484919641</v>
      </c>
      <c r="R1762">
        <v>-6.2677081302808801E-9</v>
      </c>
      <c r="S1762" t="s">
        <v>3636</v>
      </c>
      <c r="T1762" t="s">
        <v>3746</v>
      </c>
      <c r="U1762" t="s">
        <v>3746</v>
      </c>
      <c r="V1762" t="s">
        <v>3746</v>
      </c>
      <c r="W1762" t="s">
        <v>5496</v>
      </c>
      <c r="X1762">
        <v>16</v>
      </c>
      <c r="Y1762" t="s">
        <v>7281</v>
      </c>
      <c r="Z1762" t="s">
        <v>9150</v>
      </c>
      <c r="AA1762">
        <v>1.133243113605368</v>
      </c>
      <c r="AB1762" t="str">
        <f>HYPERLINK("Melting_Curves/meltCurve_Q9HBR0_SLC38A10.pdf", "Melting_Curves/meltCurve_Q9HBR0_SLC38A10.pdf")</f>
        <v>Melting_Curves/meltCurve_Q9HBR0_SLC38A10.pdf</v>
      </c>
    </row>
    <row r="1763" spans="1:28" x14ac:dyDescent="0.25">
      <c r="A1763" t="s">
        <v>1767</v>
      </c>
      <c r="B1763">
        <v>1</v>
      </c>
      <c r="C1763">
        <v>1.0968623456636799</v>
      </c>
      <c r="D1763">
        <v>1.8264477181825001</v>
      </c>
      <c r="E1763">
        <v>2.6246490944774301</v>
      </c>
      <c r="F1763">
        <v>2.1676645218989901</v>
      </c>
      <c r="G1763">
        <v>2.9227635207313698</v>
      </c>
      <c r="H1763">
        <v>2.1054331354184801</v>
      </c>
      <c r="I1763">
        <v>2.99431098303232</v>
      </c>
      <c r="J1763">
        <v>3.07107544779271</v>
      </c>
      <c r="K1763">
        <v>2.9534444637666799</v>
      </c>
      <c r="L1763">
        <v>10786.174668224799</v>
      </c>
      <c r="M1763">
        <v>250</v>
      </c>
      <c r="O1763">
        <v>43.141947065344802</v>
      </c>
      <c r="P1763">
        <v>0.72435318580601005</v>
      </c>
      <c r="Q1763">
        <v>1.5</v>
      </c>
      <c r="R1763">
        <v>-1.0379008268443199</v>
      </c>
      <c r="S1763" t="s">
        <v>3637</v>
      </c>
      <c r="T1763" t="s">
        <v>3746</v>
      </c>
      <c r="U1763" t="s">
        <v>3746</v>
      </c>
      <c r="V1763" t="s">
        <v>3746</v>
      </c>
      <c r="W1763" t="s">
        <v>5497</v>
      </c>
      <c r="X1763">
        <v>8</v>
      </c>
      <c r="Y1763" t="s">
        <v>7282</v>
      </c>
      <c r="Z1763" t="s">
        <v>9151</v>
      </c>
      <c r="AA1763">
        <v>1.447550496307187</v>
      </c>
      <c r="AB1763" t="str">
        <f>HYPERLINK("Melting_Curves/meltCurve_Q9HC38_2_GLOD4.pdf", "Melting_Curves/meltCurve_Q9HC38_2_GLOD4.pdf")</f>
        <v>Melting_Curves/meltCurve_Q9HC38_2_GLOD4.pdf</v>
      </c>
    </row>
    <row r="1764" spans="1:28" x14ac:dyDescent="0.25">
      <c r="A1764" t="s">
        <v>1768</v>
      </c>
      <c r="B1764">
        <v>1</v>
      </c>
      <c r="C1764">
        <v>1.23773975312148</v>
      </c>
      <c r="D1764">
        <v>1.4930368897769599</v>
      </c>
      <c r="E1764">
        <v>2.07483441693461</v>
      </c>
      <c r="F1764">
        <v>0.88401578237364498</v>
      </c>
      <c r="G1764">
        <v>0.49821991865383303</v>
      </c>
      <c r="H1764">
        <v>1.0151027984298799</v>
      </c>
      <c r="I1764">
        <v>0.63197452100090301</v>
      </c>
      <c r="J1764">
        <v>0.91793368563053401</v>
      </c>
      <c r="K1764">
        <v>1.2115710358957701</v>
      </c>
      <c r="L1764">
        <v>13176.658436400799</v>
      </c>
      <c r="M1764">
        <v>250</v>
      </c>
      <c r="O1764">
        <v>52.703261006512697</v>
      </c>
      <c r="P1764">
        <v>-0.172001724528032</v>
      </c>
      <c r="Q1764">
        <v>0.85495917204198502</v>
      </c>
      <c r="R1764">
        <v>1.41225563405396E-2</v>
      </c>
      <c r="S1764" t="s">
        <v>3638</v>
      </c>
      <c r="T1764" t="s">
        <v>3746</v>
      </c>
      <c r="U1764" t="s">
        <v>3746</v>
      </c>
      <c r="V1764" t="s">
        <v>3746</v>
      </c>
      <c r="W1764" t="s">
        <v>5498</v>
      </c>
      <c r="X1764">
        <v>2</v>
      </c>
      <c r="Y1764" t="s">
        <v>7283</v>
      </c>
      <c r="Z1764" t="s">
        <v>9152</v>
      </c>
      <c r="AA1764">
        <v>0.91640527752094292</v>
      </c>
      <c r="AB1764" t="str">
        <f>HYPERLINK("Melting_Curves/meltCurve_Q9HC57_WFDC1.pdf", "Melting_Curves/meltCurve_Q9HC57_WFDC1.pdf")</f>
        <v>Melting_Curves/meltCurve_Q9HC57_WFDC1.pdf</v>
      </c>
    </row>
    <row r="1765" spans="1:28" x14ac:dyDescent="0.25">
      <c r="A1765" t="s">
        <v>1769</v>
      </c>
      <c r="B1765">
        <v>1</v>
      </c>
      <c r="C1765">
        <v>1.22889393534598</v>
      </c>
      <c r="D1765">
        <v>2.1663104461661802</v>
      </c>
      <c r="E1765">
        <v>3.02571466737911</v>
      </c>
      <c r="F1765">
        <v>2.2110606465402101</v>
      </c>
      <c r="G1765">
        <v>2.5282527384450999</v>
      </c>
      <c r="H1765">
        <v>2.14633983435747</v>
      </c>
      <c r="I1765">
        <v>2.73664173123163</v>
      </c>
      <c r="J1765">
        <v>2.6287737109270601</v>
      </c>
      <c r="K1765">
        <v>2.8923991450708</v>
      </c>
      <c r="L1765">
        <v>10732.260835986001</v>
      </c>
      <c r="M1765">
        <v>250</v>
      </c>
      <c r="O1765">
        <v>42.926296187301801</v>
      </c>
      <c r="P1765">
        <v>0.72799199616325405</v>
      </c>
      <c r="Q1765">
        <v>1.5</v>
      </c>
      <c r="R1765">
        <v>-1.3179495311977301</v>
      </c>
      <c r="S1765" t="s">
        <v>3639</v>
      </c>
      <c r="T1765" t="s">
        <v>3746</v>
      </c>
      <c r="U1765" t="s">
        <v>3746</v>
      </c>
      <c r="V1765" t="s">
        <v>3746</v>
      </c>
      <c r="W1765" t="s">
        <v>5499</v>
      </c>
      <c r="X1765">
        <v>1</v>
      </c>
      <c r="Y1765" t="s">
        <v>7284</v>
      </c>
      <c r="Z1765" t="s">
        <v>9153</v>
      </c>
      <c r="AA1765">
        <v>1.4511449410051469</v>
      </c>
      <c r="AB1765" t="str">
        <f>HYPERLINK("Melting_Curves/meltCurve_Q9HCB6_SPON1.pdf", "Melting_Curves/meltCurve_Q9HCB6_SPON1.pdf")</f>
        <v>Melting_Curves/meltCurve_Q9HCB6_SPON1.pdf</v>
      </c>
    </row>
    <row r="1766" spans="1:28" x14ac:dyDescent="0.25">
      <c r="A1766" t="s">
        <v>1770</v>
      </c>
      <c r="B1766">
        <v>1</v>
      </c>
      <c r="C1766">
        <v>1.11927323306963</v>
      </c>
      <c r="D1766">
        <v>1.39983772349242</v>
      </c>
      <c r="E1766">
        <v>1.8018777710162599</v>
      </c>
      <c r="F1766">
        <v>1.21058274652989</v>
      </c>
      <c r="G1766">
        <v>1.4489553449824699</v>
      </c>
      <c r="H1766">
        <v>0.70688805818771905</v>
      </c>
      <c r="I1766">
        <v>1.2501666231997399</v>
      </c>
      <c r="J1766">
        <v>1.24712393868266</v>
      </c>
      <c r="K1766">
        <v>1.2226085948593099</v>
      </c>
      <c r="L1766">
        <v>10739.370195151099</v>
      </c>
      <c r="M1766">
        <v>250</v>
      </c>
      <c r="O1766">
        <v>42.954731725504402</v>
      </c>
      <c r="P1766">
        <v>0.41614318205564699</v>
      </c>
      <c r="Q1766">
        <v>1.28600509998624</v>
      </c>
      <c r="R1766">
        <v>0.119982922160196</v>
      </c>
      <c r="S1766" t="s">
        <v>3640</v>
      </c>
      <c r="T1766" t="s">
        <v>3746</v>
      </c>
      <c r="U1766" t="s">
        <v>3746</v>
      </c>
      <c r="V1766" t="s">
        <v>3746</v>
      </c>
      <c r="W1766" t="s">
        <v>5500</v>
      </c>
      <c r="X1766">
        <v>1</v>
      </c>
      <c r="Y1766" t="s">
        <v>7285</v>
      </c>
      <c r="Z1766" t="s">
        <v>9154</v>
      </c>
      <c r="AA1766">
        <v>1.2577883852525999</v>
      </c>
      <c r="AB1766" t="str">
        <f>HYPERLINK("Melting_Curves/meltCurve_Q9HCU4_CELSR2.pdf", "Melting_Curves/meltCurve_Q9HCU4_CELSR2.pdf")</f>
        <v>Melting_Curves/meltCurve_Q9HCU4_CELSR2.pdf</v>
      </c>
    </row>
    <row r="1767" spans="1:28" x14ac:dyDescent="0.25">
      <c r="A1767" t="s">
        <v>1771</v>
      </c>
      <c r="B1767">
        <v>1</v>
      </c>
      <c r="C1767">
        <v>1.11281801976989</v>
      </c>
      <c r="D1767">
        <v>1.4323772484200299</v>
      </c>
      <c r="E1767">
        <v>1.7843461351482699</v>
      </c>
      <c r="F1767">
        <v>1.20722735375142</v>
      </c>
      <c r="G1767">
        <v>1.26391184573003</v>
      </c>
      <c r="H1767">
        <v>0.93070815102900695</v>
      </c>
      <c r="I1767">
        <v>1.2464106303678499</v>
      </c>
      <c r="J1767">
        <v>1.2985901798735999</v>
      </c>
      <c r="K1767">
        <v>1.34098201263977</v>
      </c>
      <c r="L1767">
        <v>10749.6158409083</v>
      </c>
      <c r="M1767">
        <v>250</v>
      </c>
      <c r="O1767">
        <v>42.995697457063201</v>
      </c>
      <c r="P1767">
        <v>0.45508781835106099</v>
      </c>
      <c r="Q1767">
        <v>1.3130691946937001</v>
      </c>
      <c r="R1767">
        <v>0.217712989187753</v>
      </c>
      <c r="S1767" t="s">
        <v>3641</v>
      </c>
      <c r="T1767" t="s">
        <v>3746</v>
      </c>
      <c r="U1767" t="s">
        <v>3746</v>
      </c>
      <c r="V1767" t="s">
        <v>3746</v>
      </c>
      <c r="W1767" t="s">
        <v>5501</v>
      </c>
      <c r="X1767">
        <v>4</v>
      </c>
      <c r="Y1767" t="s">
        <v>7286</v>
      </c>
      <c r="Z1767" t="s">
        <v>9155</v>
      </c>
      <c r="AA1767">
        <v>1.2817546862838081</v>
      </c>
      <c r="AB1767" t="str">
        <f>HYPERLINK("Melting_Curves/meltCurve_Q9HCY8_S100A14.pdf", "Melting_Curves/meltCurve_Q9HCY8_S100A14.pdf")</f>
        <v>Melting_Curves/meltCurve_Q9HCY8_S100A14.pdf</v>
      </c>
    </row>
    <row r="1768" spans="1:28" x14ac:dyDescent="0.25">
      <c r="A1768" t="s">
        <v>1772</v>
      </c>
      <c r="B1768">
        <v>1</v>
      </c>
      <c r="C1768">
        <v>0.95397764628533899</v>
      </c>
      <c r="D1768">
        <v>1.5021367521367499</v>
      </c>
      <c r="E1768">
        <v>1.8938198553583201</v>
      </c>
      <c r="F1768">
        <v>1.3769723865877701</v>
      </c>
      <c r="G1768">
        <v>1.5702662721893501</v>
      </c>
      <c r="H1768">
        <v>1.04643326758711</v>
      </c>
      <c r="I1768">
        <v>1.59015450361604</v>
      </c>
      <c r="J1768">
        <v>1.7246877054569401</v>
      </c>
      <c r="K1768">
        <v>1.53090072320842</v>
      </c>
      <c r="L1768">
        <v>11165.338979332</v>
      </c>
      <c r="M1768">
        <v>250</v>
      </c>
      <c r="O1768">
        <v>44.658498786966099</v>
      </c>
      <c r="P1768">
        <v>0.69975483984391695</v>
      </c>
      <c r="Q1768">
        <v>1.5</v>
      </c>
      <c r="R1768">
        <v>0.52043619299285204</v>
      </c>
      <c r="S1768" t="s">
        <v>3642</v>
      </c>
      <c r="T1768" t="s">
        <v>3746</v>
      </c>
      <c r="U1768" t="s">
        <v>3746</v>
      </c>
      <c r="V1768" t="s">
        <v>3746</v>
      </c>
      <c r="W1768" t="s">
        <v>5502</v>
      </c>
      <c r="X1768">
        <v>9</v>
      </c>
      <c r="Y1768" t="s">
        <v>7287</v>
      </c>
      <c r="Z1768" t="s">
        <v>9156</v>
      </c>
      <c r="AA1768">
        <v>1.422271544718924</v>
      </c>
      <c r="AB1768" t="str">
        <f>HYPERLINK("Melting_Curves/meltCurve_Q9NP72_RAB18.pdf", "Melting_Curves/meltCurve_Q9NP72_RAB18.pdf")</f>
        <v>Melting_Curves/meltCurve_Q9NP72_RAB18.pdf</v>
      </c>
    </row>
    <row r="1769" spans="1:28" x14ac:dyDescent="0.25">
      <c r="A1769" t="s">
        <v>1773</v>
      </c>
      <c r="B1769">
        <v>1</v>
      </c>
      <c r="C1769">
        <v>1.3157018921546599</v>
      </c>
      <c r="D1769">
        <v>1.7971729863136601</v>
      </c>
      <c r="E1769">
        <v>2.5018697180465201</v>
      </c>
      <c r="F1769">
        <v>1.56461745568768</v>
      </c>
      <c r="G1769">
        <v>1.50355246428839</v>
      </c>
      <c r="H1769">
        <v>0.86053773091017904</v>
      </c>
      <c r="I1769">
        <v>1.7483546481190599</v>
      </c>
      <c r="J1769">
        <v>1.73027447460923</v>
      </c>
      <c r="K1769">
        <v>1.4586979283524</v>
      </c>
      <c r="L1769">
        <v>10701.9093285373</v>
      </c>
      <c r="M1769">
        <v>250</v>
      </c>
      <c r="O1769">
        <v>42.804898194676298</v>
      </c>
      <c r="P1769">
        <v>0.73005664218208</v>
      </c>
      <c r="Q1769">
        <v>1.5</v>
      </c>
      <c r="R1769">
        <v>0.138572264889466</v>
      </c>
      <c r="S1769" t="s">
        <v>3643</v>
      </c>
      <c r="T1769" t="s">
        <v>3746</v>
      </c>
      <c r="U1769" t="s">
        <v>3746</v>
      </c>
      <c r="V1769" t="s">
        <v>3746</v>
      </c>
      <c r="W1769" t="s">
        <v>5503</v>
      </c>
      <c r="X1769">
        <v>2</v>
      </c>
      <c r="Y1769" t="s">
        <v>7288</v>
      </c>
      <c r="Z1769" t="s">
        <v>9157</v>
      </c>
      <c r="AA1769">
        <v>1.453168481336343</v>
      </c>
      <c r="AB1769" t="str">
        <f>HYPERLINK("Melting_Curves/meltCurve_Q9NQE9_HINT3.pdf", "Melting_Curves/meltCurve_Q9NQE9_HINT3.pdf")</f>
        <v>Melting_Curves/meltCurve_Q9NQE9_HINT3.pdf</v>
      </c>
    </row>
    <row r="1770" spans="1:28" x14ac:dyDescent="0.25">
      <c r="A1770" t="s">
        <v>1774</v>
      </c>
      <c r="B1770">
        <v>1</v>
      </c>
      <c r="C1770">
        <v>1.00109265734266</v>
      </c>
      <c r="D1770">
        <v>1.5821678321678301</v>
      </c>
      <c r="E1770">
        <v>2.3328962703962701</v>
      </c>
      <c r="F1770">
        <v>2.2931235431235399</v>
      </c>
      <c r="G1770">
        <v>3.11786130536131</v>
      </c>
      <c r="H1770">
        <v>1.87907925407925</v>
      </c>
      <c r="I1770">
        <v>3.61334498834499</v>
      </c>
      <c r="J1770">
        <v>3.4201631701631698</v>
      </c>
      <c r="K1770">
        <v>3.0039335664335698</v>
      </c>
      <c r="L1770">
        <v>10976.8303628553</v>
      </c>
      <c r="M1770">
        <v>250</v>
      </c>
      <c r="O1770">
        <v>43.904511698920999</v>
      </c>
      <c r="P1770">
        <v>0.71177195338398602</v>
      </c>
      <c r="Q1770">
        <v>1.5</v>
      </c>
      <c r="R1770">
        <v>-0.76708362453746104</v>
      </c>
      <c r="S1770" t="s">
        <v>3644</v>
      </c>
      <c r="T1770" t="s">
        <v>3746</v>
      </c>
      <c r="U1770" t="s">
        <v>3746</v>
      </c>
      <c r="V1770" t="s">
        <v>3746</v>
      </c>
      <c r="W1770" t="s">
        <v>5504</v>
      </c>
      <c r="X1770">
        <v>3</v>
      </c>
      <c r="Y1770" t="s">
        <v>7289</v>
      </c>
      <c r="Z1770" t="s">
        <v>9158</v>
      </c>
      <c r="AA1770">
        <v>1.4348394474766779</v>
      </c>
      <c r="AB1770" t="str">
        <f>HYPERLINK("Melting_Curves/meltCurve_Q9NQR4_NIT2.pdf", "Melting_Curves/meltCurve_Q9NQR4_NIT2.pdf")</f>
        <v>Melting_Curves/meltCurve_Q9NQR4_NIT2.pdf</v>
      </c>
    </row>
    <row r="1771" spans="1:28" x14ac:dyDescent="0.25">
      <c r="A1771" t="s">
        <v>1775</v>
      </c>
      <c r="B1771">
        <v>1</v>
      </c>
      <c r="C1771">
        <v>1.13252325802164</v>
      </c>
      <c r="D1771">
        <v>1.9065881906208499</v>
      </c>
      <c r="E1771">
        <v>2.6385038921587198</v>
      </c>
      <c r="F1771">
        <v>2.3304537687488098</v>
      </c>
      <c r="G1771">
        <v>2.8289348775394001</v>
      </c>
      <c r="H1771">
        <v>1.7067590658819101</v>
      </c>
      <c r="I1771">
        <v>2.9998101385988201</v>
      </c>
      <c r="J1771">
        <v>3.0801215112967499</v>
      </c>
      <c r="K1771">
        <v>2.7777672299221599</v>
      </c>
      <c r="L1771">
        <v>10768.753683138701</v>
      </c>
      <c r="M1771">
        <v>250</v>
      </c>
      <c r="O1771">
        <v>43.072258444725399</v>
      </c>
      <c r="P1771">
        <v>0.72552499752727395</v>
      </c>
      <c r="Q1771">
        <v>1.5</v>
      </c>
      <c r="R1771">
        <v>-0.97090412865995401</v>
      </c>
      <c r="S1771" t="s">
        <v>3645</v>
      </c>
      <c r="T1771" t="s">
        <v>3746</v>
      </c>
      <c r="U1771" t="s">
        <v>3746</v>
      </c>
      <c r="V1771" t="s">
        <v>3746</v>
      </c>
      <c r="W1771" t="s">
        <v>5505</v>
      </c>
      <c r="X1771">
        <v>2</v>
      </c>
      <c r="Y1771" t="s">
        <v>7290</v>
      </c>
      <c r="Z1771" t="s">
        <v>9159</v>
      </c>
      <c r="AA1771">
        <v>1.4487119564561239</v>
      </c>
      <c r="AB1771" t="str">
        <f>HYPERLINK("Melting_Curves/meltCurve_Q9NQT8_KIF13B.pdf", "Melting_Curves/meltCurve_Q9NQT8_KIF13B.pdf")</f>
        <v>Melting_Curves/meltCurve_Q9NQT8_KIF13B.pdf</v>
      </c>
    </row>
    <row r="1772" spans="1:28" x14ac:dyDescent="0.25">
      <c r="A1772" t="s">
        <v>1776</v>
      </c>
      <c r="B1772">
        <v>1</v>
      </c>
      <c r="C1772">
        <v>0.96915652538816599</v>
      </c>
      <c r="D1772">
        <v>1.3914533501188999</v>
      </c>
      <c r="E1772">
        <v>1.8724996503007401</v>
      </c>
      <c r="F1772">
        <v>1.6281298083648099</v>
      </c>
      <c r="G1772">
        <v>1.9939152328997101</v>
      </c>
      <c r="H1772">
        <v>1.7992026856903101</v>
      </c>
      <c r="I1772">
        <v>3.1361029514617398</v>
      </c>
      <c r="J1772">
        <v>3.59770597286334</v>
      </c>
      <c r="K1772">
        <v>3.1337249965030098</v>
      </c>
      <c r="L1772">
        <v>11440.996434603499</v>
      </c>
      <c r="M1772">
        <v>250</v>
      </c>
      <c r="O1772">
        <v>45.7610571475984</v>
      </c>
      <c r="P1772">
        <v>0.68289506372920505</v>
      </c>
      <c r="Q1772">
        <v>1.5</v>
      </c>
      <c r="R1772">
        <v>-0.324283413884081</v>
      </c>
      <c r="S1772" t="s">
        <v>3646</v>
      </c>
      <c r="T1772" t="s">
        <v>3746</v>
      </c>
      <c r="U1772" t="s">
        <v>3746</v>
      </c>
      <c r="V1772" t="s">
        <v>3746</v>
      </c>
      <c r="W1772" t="s">
        <v>5506</v>
      </c>
      <c r="X1772">
        <v>6</v>
      </c>
      <c r="Y1772" t="s">
        <v>7291</v>
      </c>
      <c r="Z1772" t="s">
        <v>9160</v>
      </c>
      <c r="AA1772">
        <v>1.403893413485066</v>
      </c>
      <c r="AB1772" t="str">
        <f>HYPERLINK("Melting_Curves/meltCurve_Q9NQW7_2_XPNPEP1.pdf", "Melting_Curves/meltCurve_Q9NQW7_2_XPNPEP1.pdf")</f>
        <v>Melting_Curves/meltCurve_Q9NQW7_2_XPNPEP1.pdf</v>
      </c>
    </row>
    <row r="1773" spans="1:28" x14ac:dyDescent="0.25">
      <c r="A1773" t="s">
        <v>1777</v>
      </c>
      <c r="B1773">
        <v>1</v>
      </c>
      <c r="C1773">
        <v>1.24850794362409</v>
      </c>
      <c r="D1773">
        <v>1.4005716046961201</v>
      </c>
      <c r="E1773">
        <v>1.7041105102412499</v>
      </c>
      <c r="F1773">
        <v>1.1191123315307201</v>
      </c>
      <c r="G1773">
        <v>0.57166073580094701</v>
      </c>
      <c r="H1773">
        <v>0.82837849197231594</v>
      </c>
      <c r="I1773">
        <v>0.82678136120373202</v>
      </c>
      <c r="J1773">
        <v>1.1216341169548001</v>
      </c>
      <c r="K1773">
        <v>1.00361455910785</v>
      </c>
      <c r="L1773">
        <v>3570.8034177763102</v>
      </c>
      <c r="M1773">
        <v>65.473513403806905</v>
      </c>
      <c r="O1773">
        <v>54.487326468427</v>
      </c>
      <c r="P1773">
        <v>-3.6604905796227501E-2</v>
      </c>
      <c r="Q1773">
        <v>0.87814902519752802</v>
      </c>
      <c r="R1773">
        <v>7.5904695975698199E-3</v>
      </c>
      <c r="S1773" t="s">
        <v>3647</v>
      </c>
      <c r="T1773" t="s">
        <v>3746</v>
      </c>
      <c r="U1773" t="s">
        <v>3746</v>
      </c>
      <c r="V1773" t="s">
        <v>3746</v>
      </c>
      <c r="W1773" t="s">
        <v>5507</v>
      </c>
      <c r="X1773">
        <v>1</v>
      </c>
      <c r="Y1773" t="s">
        <v>7292</v>
      </c>
      <c r="Z1773" t="s">
        <v>9161</v>
      </c>
      <c r="AA1773">
        <v>0.93736911386228983</v>
      </c>
      <c r="AB1773" t="str">
        <f>HYPERLINK("Melting_Curves/meltCurve_Q9NR16_3_CD163L1.pdf", "Melting_Curves/meltCurve_Q9NR16_3_CD163L1.pdf")</f>
        <v>Melting_Curves/meltCurve_Q9NR16_3_CD163L1.pdf</v>
      </c>
    </row>
    <row r="1774" spans="1:28" x14ac:dyDescent="0.25">
      <c r="A1774" t="s">
        <v>1778</v>
      </c>
      <c r="B1774">
        <v>1</v>
      </c>
      <c r="C1774">
        <v>1.00138663285924</v>
      </c>
      <c r="D1774">
        <v>1.43461035616655</v>
      </c>
      <c r="E1774">
        <v>1.7285369042431</v>
      </c>
      <c r="F1774">
        <v>1.3303751832336299</v>
      </c>
      <c r="G1774">
        <v>1.5069529733370299</v>
      </c>
      <c r="H1774">
        <v>1.4217344796164999</v>
      </c>
      <c r="I1774">
        <v>2.85995008121707</v>
      </c>
      <c r="J1774">
        <v>3.4404342141753501</v>
      </c>
      <c r="K1774">
        <v>3.3493126262826398</v>
      </c>
      <c r="L1774">
        <v>9589.13520496602</v>
      </c>
      <c r="M1774">
        <v>210.35359464265099</v>
      </c>
      <c r="O1774">
        <v>45.581675911241099</v>
      </c>
      <c r="P1774">
        <v>0.57685904031643997</v>
      </c>
      <c r="Q1774">
        <v>1.5</v>
      </c>
      <c r="R1774">
        <v>-0.14515951489100501</v>
      </c>
      <c r="S1774" t="s">
        <v>3648</v>
      </c>
      <c r="T1774" t="s">
        <v>3746</v>
      </c>
      <c r="U1774" t="s">
        <v>3746</v>
      </c>
      <c r="V1774" t="s">
        <v>3746</v>
      </c>
      <c r="W1774" t="s">
        <v>5508</v>
      </c>
      <c r="X1774">
        <v>8</v>
      </c>
      <c r="Y1774" t="s">
        <v>7293</v>
      </c>
      <c r="Z1774" t="s">
        <v>9162</v>
      </c>
      <c r="AA1774">
        <v>1.406846961471603</v>
      </c>
      <c r="AB1774" t="str">
        <f>HYPERLINK("Melting_Curves/meltCurve_Q9NR19_ACSS2.pdf", "Melting_Curves/meltCurve_Q9NR19_ACSS2.pdf")</f>
        <v>Melting_Curves/meltCurve_Q9NR19_ACSS2.pdf</v>
      </c>
    </row>
    <row r="1775" spans="1:28" x14ac:dyDescent="0.25">
      <c r="A1775" t="s">
        <v>1779</v>
      </c>
      <c r="B1775">
        <v>1</v>
      </c>
      <c r="C1775">
        <v>0.84922217790187504</v>
      </c>
      <c r="D1775">
        <v>1.50522536896689</v>
      </c>
      <c r="E1775">
        <v>2.35963302752294</v>
      </c>
      <c r="F1775">
        <v>1.6440366972477101</v>
      </c>
      <c r="G1775">
        <v>2.1325089748703601</v>
      </c>
      <c r="H1775">
        <v>1.5351416035101699</v>
      </c>
      <c r="I1775">
        <v>2.3803749501396099</v>
      </c>
      <c r="J1775">
        <v>2.5197447147985601</v>
      </c>
      <c r="K1775">
        <v>2.1905065815715998</v>
      </c>
      <c r="S1775" t="s">
        <v>3649</v>
      </c>
      <c r="T1775" t="s">
        <v>3746</v>
      </c>
      <c r="U1775" t="s">
        <v>3747</v>
      </c>
      <c r="V1775" t="s">
        <v>3746</v>
      </c>
      <c r="W1775" t="s">
        <v>5509</v>
      </c>
      <c r="X1775">
        <v>4</v>
      </c>
      <c r="Y1775" t="s">
        <v>7294</v>
      </c>
      <c r="Z1775" t="s">
        <v>9163</v>
      </c>
      <c r="AB1775" t="str">
        <f>HYPERLINK("Melting_Curves/meltCurve_Q9NR31_SAR1A.pdf", "Melting_Curves/meltCurve_Q9NR31_SAR1A.pdf")</f>
        <v>Melting_Curves/meltCurve_Q9NR31_SAR1A.pdf</v>
      </c>
    </row>
    <row r="1776" spans="1:28" x14ac:dyDescent="0.25">
      <c r="A1776" t="s">
        <v>1780</v>
      </c>
      <c r="B1776">
        <v>1</v>
      </c>
      <c r="C1776">
        <v>1.03542656738418</v>
      </c>
      <c r="D1776">
        <v>1.57427126483519</v>
      </c>
      <c r="E1776">
        <v>2.1235355409286099</v>
      </c>
      <c r="F1776">
        <v>1.6826857099290999</v>
      </c>
      <c r="G1776">
        <v>2.5406490635085999</v>
      </c>
      <c r="H1776">
        <v>2.0623904038222101</v>
      </c>
      <c r="I1776">
        <v>3.4836971714656002</v>
      </c>
      <c r="J1776">
        <v>3.5467229154489299</v>
      </c>
      <c r="K1776">
        <v>3.30300642964243</v>
      </c>
      <c r="L1776">
        <v>10835.4091868142</v>
      </c>
      <c r="M1776">
        <v>250</v>
      </c>
      <c r="O1776">
        <v>43.338864191118297</v>
      </c>
      <c r="P1776">
        <v>0.721061831128194</v>
      </c>
      <c r="Q1776">
        <v>1.5</v>
      </c>
      <c r="R1776">
        <v>-0.59791285205442901</v>
      </c>
      <c r="S1776" t="s">
        <v>3650</v>
      </c>
      <c r="T1776" t="s">
        <v>3746</v>
      </c>
      <c r="U1776" t="s">
        <v>3746</v>
      </c>
      <c r="V1776" t="s">
        <v>3746</v>
      </c>
      <c r="W1776" t="s">
        <v>5510</v>
      </c>
      <c r="X1776">
        <v>4</v>
      </c>
      <c r="Y1776" t="s">
        <v>7295</v>
      </c>
      <c r="Z1776" t="s">
        <v>9164</v>
      </c>
      <c r="AA1776">
        <v>1.4442680222613411</v>
      </c>
      <c r="AB1776" t="str">
        <f>HYPERLINK("Melting_Curves/meltCurve_Q9NR45_NANS.pdf", "Melting_Curves/meltCurve_Q9NR45_NANS.pdf")</f>
        <v>Melting_Curves/meltCurve_Q9NR45_NANS.pdf</v>
      </c>
    </row>
    <row r="1777" spans="1:28" x14ac:dyDescent="0.25">
      <c r="A1777" t="s">
        <v>1781</v>
      </c>
      <c r="B1777">
        <v>1</v>
      </c>
      <c r="C1777">
        <v>0.97626131953428197</v>
      </c>
      <c r="D1777">
        <v>1.6271668822768399</v>
      </c>
      <c r="E1777">
        <v>2.6286545924967699</v>
      </c>
      <c r="F1777">
        <v>2.3640362225097</v>
      </c>
      <c r="G1777">
        <v>3.1595084087969001</v>
      </c>
      <c r="H1777">
        <v>2.4862871927554999</v>
      </c>
      <c r="I1777">
        <v>3.51830530401035</v>
      </c>
      <c r="J1777">
        <v>3.3680465717981898</v>
      </c>
      <c r="K1777">
        <v>3.36953428201811</v>
      </c>
      <c r="L1777">
        <v>11063.246210835699</v>
      </c>
      <c r="M1777">
        <v>250</v>
      </c>
      <c r="O1777">
        <v>44.250155622466799</v>
      </c>
      <c r="P1777">
        <v>0.70621224909900204</v>
      </c>
      <c r="Q1777">
        <v>1.5</v>
      </c>
      <c r="R1777">
        <v>-1.0206588216580701</v>
      </c>
      <c r="S1777" t="s">
        <v>3651</v>
      </c>
      <c r="T1777" t="s">
        <v>3746</v>
      </c>
      <c r="U1777" t="s">
        <v>3746</v>
      </c>
      <c r="V1777" t="s">
        <v>3746</v>
      </c>
      <c r="W1777" t="s">
        <v>5511</v>
      </c>
      <c r="X1777">
        <v>2</v>
      </c>
      <c r="Y1777" t="s">
        <v>7296</v>
      </c>
      <c r="Z1777" t="s">
        <v>9165</v>
      </c>
      <c r="AA1777">
        <v>1.429078087627776</v>
      </c>
      <c r="AB1777" t="str">
        <f>HYPERLINK("Melting_Curves/meltCurve_Q9NR99_MXRA5.pdf", "Melting_Curves/meltCurve_Q9NR99_MXRA5.pdf")</f>
        <v>Melting_Curves/meltCurve_Q9NR99_MXRA5.pdf</v>
      </c>
    </row>
    <row r="1778" spans="1:28" x14ac:dyDescent="0.25">
      <c r="A1778" t="s">
        <v>1782</v>
      </c>
      <c r="B1778">
        <v>1</v>
      </c>
      <c r="C1778">
        <v>0.98623644152766399</v>
      </c>
      <c r="D1778">
        <v>1.2300610700938801</v>
      </c>
      <c r="E1778">
        <v>1.4491842129249799</v>
      </c>
      <c r="F1778">
        <v>1.1361771944216601</v>
      </c>
      <c r="G1778">
        <v>1.2796463403518401</v>
      </c>
      <c r="H1778">
        <v>0.66462492024427999</v>
      </c>
      <c r="I1778">
        <v>1.14574788077659</v>
      </c>
      <c r="J1778">
        <v>1.0358217117856201</v>
      </c>
      <c r="K1778">
        <v>0.94430772035365995</v>
      </c>
      <c r="L1778">
        <v>15000</v>
      </c>
      <c r="M1778">
        <v>211.455051714463</v>
      </c>
      <c r="Q1778">
        <v>0</v>
      </c>
      <c r="R1778">
        <v>-0.17621065245157699</v>
      </c>
      <c r="S1778" t="s">
        <v>3652</v>
      </c>
      <c r="T1778" t="s">
        <v>3746</v>
      </c>
      <c r="U1778" t="s">
        <v>3746</v>
      </c>
      <c r="V1778" t="s">
        <v>3746</v>
      </c>
      <c r="W1778" t="s">
        <v>5512</v>
      </c>
      <c r="X1778">
        <v>4</v>
      </c>
      <c r="Y1778" t="s">
        <v>7297</v>
      </c>
      <c r="Z1778" t="s">
        <v>9166</v>
      </c>
      <c r="AA1778">
        <v>0.99938188904634973</v>
      </c>
      <c r="AB1778" t="str">
        <f>HYPERLINK("Melting_Curves/meltCurve_Q9NRR5_UBQLN4.pdf", "Melting_Curves/meltCurve_Q9NRR5_UBQLN4.pdf")</f>
        <v>Melting_Curves/meltCurve_Q9NRR5_UBQLN4.pdf</v>
      </c>
    </row>
    <row r="1779" spans="1:28" x14ac:dyDescent="0.25">
      <c r="A1779" t="s">
        <v>1783</v>
      </c>
      <c r="B1779">
        <v>1</v>
      </c>
      <c r="C1779">
        <v>0.961454037049983</v>
      </c>
      <c r="D1779">
        <v>1.2696819293953201</v>
      </c>
      <c r="E1779">
        <v>1.4501223348479599</v>
      </c>
      <c r="F1779">
        <v>0.81960153792380297</v>
      </c>
      <c r="G1779">
        <v>0.90797623208668299</v>
      </c>
      <c r="H1779">
        <v>0.70225795176511696</v>
      </c>
      <c r="I1779">
        <v>0.97708493533729501</v>
      </c>
      <c r="J1779">
        <v>0.978469066759874</v>
      </c>
      <c r="K1779">
        <v>0.89563089828731202</v>
      </c>
      <c r="L1779">
        <v>5817.02495669359</v>
      </c>
      <c r="M1779">
        <v>112.028985492361</v>
      </c>
      <c r="O1779">
        <v>51.907727607371797</v>
      </c>
      <c r="P1779">
        <v>-6.4428898244286797E-2</v>
      </c>
      <c r="Q1779">
        <v>0.88058952147186598</v>
      </c>
      <c r="R1779">
        <v>0.198704814245307</v>
      </c>
      <c r="S1779" t="s">
        <v>3653</v>
      </c>
      <c r="T1779" t="s">
        <v>3746</v>
      </c>
      <c r="U1779" t="s">
        <v>3746</v>
      </c>
      <c r="V1779" t="s">
        <v>3746</v>
      </c>
      <c r="W1779" t="s">
        <v>5513</v>
      </c>
      <c r="X1779">
        <v>1</v>
      </c>
      <c r="Y1779" t="s">
        <v>7298</v>
      </c>
      <c r="Z1779" t="s">
        <v>9167</v>
      </c>
      <c r="AA1779">
        <v>0.92810657633069149</v>
      </c>
      <c r="AB1779" t="str">
        <f>HYPERLINK("Melting_Curves/meltCurve_Q9NRR8_CDC42SE1.pdf", "Melting_Curves/meltCurve_Q9NRR8_CDC42SE1.pdf")</f>
        <v>Melting_Curves/meltCurve_Q9NRR8_CDC42SE1.pdf</v>
      </c>
    </row>
    <row r="1780" spans="1:28" x14ac:dyDescent="0.25">
      <c r="A1780" t="s">
        <v>1784</v>
      </c>
      <c r="B1780">
        <v>1</v>
      </c>
      <c r="C1780">
        <v>0.95785984848484895</v>
      </c>
      <c r="D1780">
        <v>1.43295454545455</v>
      </c>
      <c r="E1780">
        <v>1.9031565656565701</v>
      </c>
      <c r="F1780">
        <v>1.4944760101010099</v>
      </c>
      <c r="G1780">
        <v>2.1770202020201999</v>
      </c>
      <c r="H1780">
        <v>1.61584595959596</v>
      </c>
      <c r="I1780">
        <v>2.6509469696969701</v>
      </c>
      <c r="J1780">
        <v>2.6068813131313102</v>
      </c>
      <c r="K1780">
        <v>2.5226957070707101</v>
      </c>
      <c r="L1780">
        <v>11414.197983038201</v>
      </c>
      <c r="M1780">
        <v>250</v>
      </c>
      <c r="O1780">
        <v>45.653861130362401</v>
      </c>
      <c r="P1780">
        <v>0.68449837615539799</v>
      </c>
      <c r="Q1780">
        <v>1.5</v>
      </c>
      <c r="R1780">
        <v>-0.15995252913626701</v>
      </c>
      <c r="S1780" t="s">
        <v>3654</v>
      </c>
      <c r="T1780" t="s">
        <v>3746</v>
      </c>
      <c r="U1780" t="s">
        <v>3746</v>
      </c>
      <c r="V1780" t="s">
        <v>3746</v>
      </c>
      <c r="W1780" t="s">
        <v>5514</v>
      </c>
      <c r="X1780">
        <v>4</v>
      </c>
      <c r="Y1780" t="s">
        <v>7299</v>
      </c>
      <c r="Z1780" t="s">
        <v>9168</v>
      </c>
      <c r="AA1780">
        <v>1.4056800709844881</v>
      </c>
      <c r="AB1780" t="str">
        <f>HYPERLINK("Melting_Curves/meltCurve_Q9NRV9_HEBP1.pdf", "Melting_Curves/meltCurve_Q9NRV9_HEBP1.pdf")</f>
        <v>Melting_Curves/meltCurve_Q9NRV9_HEBP1.pdf</v>
      </c>
    </row>
    <row r="1781" spans="1:28" x14ac:dyDescent="0.25">
      <c r="A1781" t="s">
        <v>1785</v>
      </c>
      <c r="B1781">
        <v>1</v>
      </c>
      <c r="C1781">
        <v>1.0511194512747499</v>
      </c>
      <c r="D1781">
        <v>1.58308528536301</v>
      </c>
      <c r="E1781">
        <v>2.02297139899055</v>
      </c>
      <c r="F1781">
        <v>1.60760968034166</v>
      </c>
      <c r="G1781">
        <v>2.1984599456451401</v>
      </c>
      <c r="H1781">
        <v>1.40054354859583</v>
      </c>
      <c r="I1781">
        <v>2.80645787498382</v>
      </c>
      <c r="J1781">
        <v>2.6343988611362801</v>
      </c>
      <c r="K1781">
        <v>2.44033907079073</v>
      </c>
      <c r="L1781">
        <v>10818.203900001699</v>
      </c>
      <c r="M1781">
        <v>250</v>
      </c>
      <c r="O1781">
        <v>43.270046188701301</v>
      </c>
      <c r="P1781">
        <v>0.72220860889199601</v>
      </c>
      <c r="Q1781">
        <v>1.5</v>
      </c>
      <c r="R1781">
        <v>-0.25587475181761798</v>
      </c>
      <c r="S1781" t="s">
        <v>3655</v>
      </c>
      <c r="T1781" t="s">
        <v>3746</v>
      </c>
      <c r="U1781" t="s">
        <v>3746</v>
      </c>
      <c r="V1781" t="s">
        <v>3746</v>
      </c>
      <c r="W1781" t="s">
        <v>5515</v>
      </c>
      <c r="X1781">
        <v>5</v>
      </c>
      <c r="Y1781" t="s">
        <v>7300</v>
      </c>
      <c r="Z1781" t="s">
        <v>9169</v>
      </c>
      <c r="AA1781">
        <v>1.445415101771069</v>
      </c>
      <c r="AB1781" t="str">
        <f>HYPERLINK("Melting_Curves/meltCurve_Q9NSD9_FARSB.pdf", "Melting_Curves/meltCurve_Q9NSD9_FARSB.pdf")</f>
        <v>Melting_Curves/meltCurve_Q9NSD9_FARSB.pdf</v>
      </c>
    </row>
    <row r="1782" spans="1:28" x14ac:dyDescent="0.25">
      <c r="A1782" t="s">
        <v>1786</v>
      </c>
      <c r="B1782">
        <v>1</v>
      </c>
      <c r="C1782">
        <v>1.29093848641158</v>
      </c>
      <c r="D1782">
        <v>1.9253214258218501</v>
      </c>
      <c r="E1782">
        <v>2.5506967433982601</v>
      </c>
      <c r="F1782">
        <v>2.5237508661174801</v>
      </c>
      <c r="G1782">
        <v>3.0648240819154702</v>
      </c>
      <c r="H1782">
        <v>1.7145276772653799</v>
      </c>
      <c r="I1782">
        <v>3.04673185002695</v>
      </c>
      <c r="J1782">
        <v>3.0993148048348602</v>
      </c>
      <c r="K1782">
        <v>2.93825544691662</v>
      </c>
      <c r="L1782">
        <v>10710.8222449359</v>
      </c>
      <c r="M1782">
        <v>250</v>
      </c>
      <c r="O1782">
        <v>42.8405443955685</v>
      </c>
      <c r="P1782">
        <v>0.72944913192507799</v>
      </c>
      <c r="Q1782">
        <v>1.5</v>
      </c>
      <c r="R1782">
        <v>-1.15752317366397</v>
      </c>
      <c r="S1782" t="s">
        <v>3656</v>
      </c>
      <c r="T1782" t="s">
        <v>3746</v>
      </c>
      <c r="U1782" t="s">
        <v>3746</v>
      </c>
      <c r="V1782" t="s">
        <v>3746</v>
      </c>
      <c r="W1782" t="s">
        <v>5516</v>
      </c>
      <c r="X1782">
        <v>1</v>
      </c>
      <c r="Y1782" t="s">
        <v>7301</v>
      </c>
      <c r="Z1782" t="s">
        <v>9170</v>
      </c>
      <c r="AA1782">
        <v>1.452574255637576</v>
      </c>
      <c r="AB1782" t="str">
        <f>HYPERLINK("Melting_Curves/meltCurve_Q9NT62_2_ATG3.pdf", "Melting_Curves/meltCurve_Q9NT62_2_ATG3.pdf")</f>
        <v>Melting_Curves/meltCurve_Q9NT62_2_ATG3.pdf</v>
      </c>
    </row>
    <row r="1783" spans="1:28" x14ac:dyDescent="0.25">
      <c r="A1783" t="s">
        <v>1787</v>
      </c>
      <c r="B1783">
        <v>1</v>
      </c>
      <c r="C1783">
        <v>1.0452448375704</v>
      </c>
      <c r="D1783">
        <v>1.57746030735945</v>
      </c>
      <c r="E1783">
        <v>2.0474720799261799</v>
      </c>
      <c r="F1783">
        <v>1.53692449648414</v>
      </c>
      <c r="G1783">
        <v>1.7989754685163399</v>
      </c>
      <c r="H1783">
        <v>1.11915746603455</v>
      </c>
      <c r="I1783">
        <v>2.15119793820993</v>
      </c>
      <c r="J1783">
        <v>2.1527888256069199</v>
      </c>
      <c r="K1783">
        <v>1.9712685736103599</v>
      </c>
      <c r="L1783">
        <v>10823.9986920922</v>
      </c>
      <c r="M1783">
        <v>250</v>
      </c>
      <c r="O1783">
        <v>43.293223527236201</v>
      </c>
      <c r="P1783">
        <v>0.721821963542853</v>
      </c>
      <c r="Q1783">
        <v>1.5</v>
      </c>
      <c r="R1783">
        <v>0.139060815707196</v>
      </c>
      <c r="S1783" t="s">
        <v>3657</v>
      </c>
      <c r="T1783" t="s">
        <v>3746</v>
      </c>
      <c r="U1783" t="s">
        <v>3746</v>
      </c>
      <c r="V1783" t="s">
        <v>3746</v>
      </c>
      <c r="W1783" t="s">
        <v>5517</v>
      </c>
      <c r="X1783">
        <v>4</v>
      </c>
      <c r="Y1783" t="s">
        <v>7302</v>
      </c>
      <c r="Z1783" t="s">
        <v>9171</v>
      </c>
      <c r="AA1783">
        <v>1.445028761959263</v>
      </c>
      <c r="AB1783" t="str">
        <f>HYPERLINK("Melting_Curves/meltCurve_Q9NTX5_6_ECHDC1.pdf", "Melting_Curves/meltCurve_Q9NTX5_6_ECHDC1.pdf")</f>
        <v>Melting_Curves/meltCurve_Q9NTX5_6_ECHDC1.pdf</v>
      </c>
    </row>
    <row r="1784" spans="1:28" x14ac:dyDescent="0.25">
      <c r="A1784" t="s">
        <v>1788</v>
      </c>
      <c r="B1784">
        <v>1</v>
      </c>
      <c r="C1784">
        <v>1.1038677798602801</v>
      </c>
      <c r="D1784">
        <v>1.7622082126426999</v>
      </c>
      <c r="E1784">
        <v>2.5514397682739798</v>
      </c>
      <c r="F1784">
        <v>2.2055205316067501</v>
      </c>
      <c r="G1784">
        <v>2.79550178906117</v>
      </c>
      <c r="H1784">
        <v>1.8917703186232699</v>
      </c>
      <c r="I1784">
        <v>2.9703186232748302</v>
      </c>
      <c r="J1784">
        <v>3.0715965241097298</v>
      </c>
      <c r="K1784">
        <v>2.7339240074970199</v>
      </c>
      <c r="L1784">
        <v>10782.427066943899</v>
      </c>
      <c r="M1784">
        <v>250</v>
      </c>
      <c r="O1784">
        <v>43.126948244886599</v>
      </c>
      <c r="P1784">
        <v>0.72460494662530395</v>
      </c>
      <c r="Q1784">
        <v>1.5</v>
      </c>
      <c r="R1784">
        <v>-0.91488225439138704</v>
      </c>
      <c r="S1784" t="s">
        <v>3658</v>
      </c>
      <c r="T1784" t="s">
        <v>3746</v>
      </c>
      <c r="U1784" t="s">
        <v>3746</v>
      </c>
      <c r="V1784" t="s">
        <v>3746</v>
      </c>
      <c r="W1784" t="s">
        <v>5256</v>
      </c>
      <c r="X1784">
        <v>5</v>
      </c>
      <c r="Y1784" t="s">
        <v>7044</v>
      </c>
      <c r="Z1784" t="s">
        <v>9172</v>
      </c>
      <c r="AA1784">
        <v>1.44780034954584</v>
      </c>
      <c r="AB1784" t="str">
        <f>HYPERLINK("Melting_Curves/meltCurve_Q9NV23_OLAH.pdf", "Melting_Curves/meltCurve_Q9NV23_OLAH.pdf")</f>
        <v>Melting_Curves/meltCurve_Q9NV23_OLAH.pdf</v>
      </c>
    </row>
    <row r="1785" spans="1:28" x14ac:dyDescent="0.25">
      <c r="A1785" t="s">
        <v>1789</v>
      </c>
      <c r="B1785">
        <v>1</v>
      </c>
      <c r="C1785">
        <v>1.0931810766721</v>
      </c>
      <c r="D1785">
        <v>2.3996737357259401</v>
      </c>
      <c r="E1785">
        <v>3.8557259380097899</v>
      </c>
      <c r="F1785">
        <v>3.0406525285481201</v>
      </c>
      <c r="G1785">
        <v>4.5252202283849901</v>
      </c>
      <c r="H1785">
        <v>2.72417618270799</v>
      </c>
      <c r="I1785">
        <v>4.2653833605220202</v>
      </c>
      <c r="J1785">
        <v>4.2651876019575896</v>
      </c>
      <c r="K1785">
        <v>3.9655464926590498</v>
      </c>
      <c r="L1785">
        <v>10788.226432568201</v>
      </c>
      <c r="M1785">
        <v>250</v>
      </c>
      <c r="O1785">
        <v>43.150144393626</v>
      </c>
      <c r="P1785">
        <v>0.72421542485854895</v>
      </c>
      <c r="Q1785">
        <v>1.5</v>
      </c>
      <c r="R1785">
        <v>-1.6922587205284001</v>
      </c>
      <c r="S1785" t="s">
        <v>3659</v>
      </c>
      <c r="T1785" t="s">
        <v>3746</v>
      </c>
      <c r="U1785" t="s">
        <v>3746</v>
      </c>
      <c r="V1785" t="s">
        <v>3746</v>
      </c>
      <c r="W1785" t="s">
        <v>5518</v>
      </c>
      <c r="X1785">
        <v>1</v>
      </c>
      <c r="Y1785" t="s">
        <v>7303</v>
      </c>
      <c r="Z1785" t="s">
        <v>9173</v>
      </c>
      <c r="AA1785">
        <v>1.4474137048163569</v>
      </c>
      <c r="AB1785" t="str">
        <f>HYPERLINK("Melting_Curves/meltCurve_Q9NVE4_CCDC87.pdf", "Melting_Curves/meltCurve_Q9NVE4_CCDC87.pdf")</f>
        <v>Melting_Curves/meltCurve_Q9NVE4_CCDC87.pdf</v>
      </c>
    </row>
    <row r="1786" spans="1:28" x14ac:dyDescent="0.25">
      <c r="A1786" t="s">
        <v>1790</v>
      </c>
      <c r="B1786">
        <v>1</v>
      </c>
      <c r="C1786">
        <v>0.861685725298728</v>
      </c>
      <c r="D1786">
        <v>1.0625080303225001</v>
      </c>
      <c r="E1786">
        <v>1.3168444044712799</v>
      </c>
      <c r="F1786">
        <v>1.23474238725427</v>
      </c>
      <c r="G1786">
        <v>0.967814467429012</v>
      </c>
      <c r="H1786">
        <v>0.46142233072080202</v>
      </c>
      <c r="I1786">
        <v>1.0427213156880399</v>
      </c>
      <c r="J1786">
        <v>0.84003597584478995</v>
      </c>
      <c r="K1786">
        <v>0.77187459848387496</v>
      </c>
      <c r="L1786">
        <v>14350.8410643609</v>
      </c>
      <c r="M1786">
        <v>250</v>
      </c>
      <c r="O1786">
        <v>57.3996908474832</v>
      </c>
      <c r="P1786">
        <v>-0.24062237701440201</v>
      </c>
      <c r="Q1786">
        <v>0.77901359952793803</v>
      </c>
      <c r="R1786">
        <v>0.33412424541292801</v>
      </c>
      <c r="S1786" t="s">
        <v>3660</v>
      </c>
      <c r="T1786" t="s">
        <v>3746</v>
      </c>
      <c r="U1786" t="s">
        <v>3746</v>
      </c>
      <c r="V1786" t="s">
        <v>3746</v>
      </c>
      <c r="W1786" t="s">
        <v>5519</v>
      </c>
      <c r="X1786">
        <v>2</v>
      </c>
      <c r="Y1786" t="s">
        <v>7304</v>
      </c>
      <c r="Z1786" t="s">
        <v>9174</v>
      </c>
      <c r="AA1786">
        <v>0.90723275625418576</v>
      </c>
      <c r="AB1786" t="str">
        <f>HYPERLINK("Melting_Curves/meltCurve_Q9NVM1_EVA1B.pdf", "Melting_Curves/meltCurve_Q9NVM1_EVA1B.pdf")</f>
        <v>Melting_Curves/meltCurve_Q9NVM1_EVA1B.pdf</v>
      </c>
    </row>
    <row r="1787" spans="1:28" x14ac:dyDescent="0.25">
      <c r="A1787" t="s">
        <v>1791</v>
      </c>
      <c r="B1787">
        <v>1</v>
      </c>
      <c r="C1787">
        <v>1.0973123602097301</v>
      </c>
      <c r="D1787">
        <v>1.73640596927364</v>
      </c>
      <c r="E1787">
        <v>2.13738862611374</v>
      </c>
      <c r="F1787">
        <v>2.0225131082022498</v>
      </c>
      <c r="G1787">
        <v>2.8101785648810198</v>
      </c>
      <c r="H1787">
        <v>2.1706449602170599</v>
      </c>
      <c r="I1787">
        <v>2.8853078135885299</v>
      </c>
      <c r="J1787">
        <v>2.5656876764565699</v>
      </c>
      <c r="K1787">
        <v>2.1292120412129201</v>
      </c>
      <c r="L1787">
        <v>1.0000000000000001E-5</v>
      </c>
      <c r="M1787">
        <v>29.453060892253699</v>
      </c>
      <c r="Q1787">
        <v>1.5</v>
      </c>
      <c r="R1787">
        <v>-0.83867347874835496</v>
      </c>
      <c r="S1787" t="s">
        <v>3661</v>
      </c>
      <c r="T1787" t="s">
        <v>3746</v>
      </c>
      <c r="U1787" t="s">
        <v>3746</v>
      </c>
      <c r="V1787" t="s">
        <v>3746</v>
      </c>
      <c r="W1787" t="s">
        <v>5520</v>
      </c>
      <c r="X1787">
        <v>2</v>
      </c>
      <c r="Y1787" t="s">
        <v>7305</v>
      </c>
      <c r="Z1787" t="s">
        <v>9175</v>
      </c>
      <c r="AA1787">
        <v>1.499999999999919</v>
      </c>
      <c r="AB1787" t="str">
        <f>HYPERLINK("Melting_Curves/meltCurve_Q9NW21_FAM49B.pdf", "Melting_Curves/meltCurve_Q9NW21_FAM49B.pdf")</f>
        <v>Melting_Curves/meltCurve_Q9NW21_FAM49B.pdf</v>
      </c>
    </row>
    <row r="1788" spans="1:28" x14ac:dyDescent="0.25">
      <c r="A1788" t="s">
        <v>1792</v>
      </c>
      <c r="B1788">
        <v>1</v>
      </c>
      <c r="C1788">
        <v>0.94748887077559696</v>
      </c>
      <c r="D1788">
        <v>1.5841745563985199</v>
      </c>
      <c r="E1788">
        <v>1.9233807762242101</v>
      </c>
      <c r="F1788">
        <v>1.48372938742241</v>
      </c>
      <c r="G1788">
        <v>2.6544924446673801</v>
      </c>
      <c r="H1788">
        <v>1.2873220891591901</v>
      </c>
      <c r="I1788">
        <v>1.91231425167722</v>
      </c>
      <c r="J1788">
        <v>1.6770330428239999</v>
      </c>
      <c r="K1788">
        <v>1.78528434384601</v>
      </c>
      <c r="L1788">
        <v>11090.040592740001</v>
      </c>
      <c r="M1788">
        <v>250</v>
      </c>
      <c r="O1788">
        <v>44.3573225730578</v>
      </c>
      <c r="P1788">
        <v>0.70450598660390895</v>
      </c>
      <c r="Q1788">
        <v>1.5</v>
      </c>
      <c r="R1788">
        <v>0.17590602861721</v>
      </c>
      <c r="S1788" t="s">
        <v>3662</v>
      </c>
      <c r="T1788" t="s">
        <v>3746</v>
      </c>
      <c r="U1788" t="s">
        <v>3746</v>
      </c>
      <c r="V1788" t="s">
        <v>3746</v>
      </c>
      <c r="W1788" t="s">
        <v>5521</v>
      </c>
      <c r="X1788">
        <v>2</v>
      </c>
      <c r="Y1788" t="s">
        <v>7306</v>
      </c>
      <c r="Z1788" t="s">
        <v>9176</v>
      </c>
      <c r="AA1788">
        <v>1.427291701453381</v>
      </c>
      <c r="AB1788" t="str">
        <f>HYPERLINK("Melting_Curves/meltCurve_Q9NX46_ADPRHL2.pdf", "Melting_Curves/meltCurve_Q9NX46_ADPRHL2.pdf")</f>
        <v>Melting_Curves/meltCurve_Q9NX46_ADPRHL2.pdf</v>
      </c>
    </row>
    <row r="1789" spans="1:28" x14ac:dyDescent="0.25">
      <c r="A1789" t="s">
        <v>1793</v>
      </c>
      <c r="B1789">
        <v>1</v>
      </c>
      <c r="C1789">
        <v>1.14282700718635</v>
      </c>
      <c r="D1789">
        <v>1.3104476352539101</v>
      </c>
      <c r="E1789">
        <v>1.55610558735427</v>
      </c>
      <c r="F1789">
        <v>1.4147692913496599</v>
      </c>
      <c r="G1789">
        <v>1.2123700901458401</v>
      </c>
      <c r="H1789">
        <v>0.70891754679567398</v>
      </c>
      <c r="I1789">
        <v>1.31679018943283</v>
      </c>
      <c r="J1789">
        <v>1.12974812606354</v>
      </c>
      <c r="K1789">
        <v>0.98184426287144699</v>
      </c>
      <c r="L1789">
        <v>10688.5354729878</v>
      </c>
      <c r="M1789">
        <v>250</v>
      </c>
      <c r="O1789">
        <v>42.7514243179182</v>
      </c>
      <c r="P1789">
        <v>0.29805173331606899</v>
      </c>
      <c r="Q1789">
        <v>1.2038740904840901</v>
      </c>
      <c r="R1789">
        <v>7.2108449692591906E-2</v>
      </c>
      <c r="S1789" t="s">
        <v>3663</v>
      </c>
      <c r="T1789" t="s">
        <v>3746</v>
      </c>
      <c r="U1789" t="s">
        <v>3746</v>
      </c>
      <c r="V1789" t="s">
        <v>3746</v>
      </c>
      <c r="W1789" t="s">
        <v>5522</v>
      </c>
      <c r="X1789">
        <v>2</v>
      </c>
      <c r="Y1789" t="s">
        <v>7307</v>
      </c>
      <c r="Z1789" t="s">
        <v>9177</v>
      </c>
      <c r="AA1789">
        <v>1.185142187419342</v>
      </c>
      <c r="AB1789" t="str">
        <f>HYPERLINK("Melting_Curves/meltCurve_Q9NX55_HYPK.pdf", "Melting_Curves/meltCurve_Q9NX55_HYPK.pdf")</f>
        <v>Melting_Curves/meltCurve_Q9NX55_HYPK.pdf</v>
      </c>
    </row>
    <row r="1790" spans="1:28" x14ac:dyDescent="0.25">
      <c r="A1790" t="s">
        <v>1794</v>
      </c>
      <c r="B1790">
        <v>1</v>
      </c>
      <c r="C1790">
        <v>1.2965625181148901</v>
      </c>
      <c r="D1790">
        <v>2.0331574981160498</v>
      </c>
      <c r="E1790">
        <v>3.14387571734972</v>
      </c>
      <c r="F1790">
        <v>1.8132572024810201</v>
      </c>
      <c r="G1790">
        <v>1.67039591907715</v>
      </c>
      <c r="H1790">
        <v>1.5977624485537101</v>
      </c>
      <c r="I1790">
        <v>1.80270708944409</v>
      </c>
      <c r="J1790">
        <v>2.0218538055764901</v>
      </c>
      <c r="K1790">
        <v>2.04364964349893</v>
      </c>
      <c r="L1790">
        <v>1.0000000000000001E-5</v>
      </c>
      <c r="M1790">
        <v>31.780849062405899</v>
      </c>
      <c r="Q1790">
        <v>1.5</v>
      </c>
      <c r="R1790">
        <v>-0.40375491792114798</v>
      </c>
      <c r="S1790" t="s">
        <v>3664</v>
      </c>
      <c r="T1790" t="s">
        <v>3746</v>
      </c>
      <c r="U1790" t="s">
        <v>3746</v>
      </c>
      <c r="V1790" t="s">
        <v>3746</v>
      </c>
      <c r="W1790" t="s">
        <v>5523</v>
      </c>
      <c r="X1790">
        <v>5</v>
      </c>
      <c r="Y1790" t="s">
        <v>7308</v>
      </c>
      <c r="Z1790" t="s">
        <v>9178</v>
      </c>
      <c r="AA1790">
        <v>1.499999999999992</v>
      </c>
      <c r="AB1790" t="str">
        <f>HYPERLINK("Melting_Curves/meltCurve_Q9NX62_IMPAD1.pdf", "Melting_Curves/meltCurve_Q9NX62_IMPAD1.pdf")</f>
        <v>Melting_Curves/meltCurve_Q9NX62_IMPAD1.pdf</v>
      </c>
    </row>
    <row r="1791" spans="1:28" x14ac:dyDescent="0.25">
      <c r="A1791" t="s">
        <v>1795</v>
      </c>
      <c r="B1791">
        <v>1</v>
      </c>
      <c r="C1791">
        <v>0.79317277758561</v>
      </c>
      <c r="D1791">
        <v>1.5876426841923199</v>
      </c>
      <c r="E1791">
        <v>1.4804782082324499</v>
      </c>
      <c r="F1791">
        <v>0.64599187132480096</v>
      </c>
      <c r="G1791">
        <v>1.1429003804911799</v>
      </c>
      <c r="H1791">
        <v>0.55177706675890703</v>
      </c>
      <c r="I1791">
        <v>1.0947552749913501</v>
      </c>
      <c r="J1791">
        <v>0.96251297129021096</v>
      </c>
      <c r="K1791">
        <v>0.91802144586648204</v>
      </c>
      <c r="L1791">
        <v>3835.6119773505402</v>
      </c>
      <c r="M1791">
        <v>65.557743795341594</v>
      </c>
      <c r="O1791">
        <v>58.453013945913298</v>
      </c>
      <c r="P1791">
        <v>-3.0512425678072701E-2</v>
      </c>
      <c r="Q1791">
        <v>0.89117729729400597</v>
      </c>
      <c r="R1791">
        <v>4.3832529980279998E-2</v>
      </c>
      <c r="S1791" t="s">
        <v>3665</v>
      </c>
      <c r="T1791" t="s">
        <v>3746</v>
      </c>
      <c r="U1791" t="s">
        <v>3746</v>
      </c>
      <c r="V1791" t="s">
        <v>3746</v>
      </c>
      <c r="W1791" t="s">
        <v>5524</v>
      </c>
      <c r="X1791">
        <v>1</v>
      </c>
      <c r="Y1791" t="s">
        <v>7309</v>
      </c>
      <c r="Z1791" t="s">
        <v>9179</v>
      </c>
      <c r="AA1791">
        <v>0.95847429092347824</v>
      </c>
      <c r="AB1791" t="str">
        <f>HYPERLINK("Melting_Curves/meltCurve_Q9NY15_STAB1.pdf", "Melting_Curves/meltCurve_Q9NY15_STAB1.pdf")</f>
        <v>Melting_Curves/meltCurve_Q9NY15_STAB1.pdf</v>
      </c>
    </row>
    <row r="1792" spans="1:28" x14ac:dyDescent="0.25">
      <c r="A1792" t="s">
        <v>1796</v>
      </c>
      <c r="B1792">
        <v>1</v>
      </c>
      <c r="C1792">
        <v>1.23040528477058</v>
      </c>
      <c r="D1792">
        <v>1.2946795215140201</v>
      </c>
      <c r="E1792">
        <v>1.5482949473308301</v>
      </c>
      <c r="F1792">
        <v>1.12863774326013</v>
      </c>
      <c r="G1792">
        <v>1.3868951972862</v>
      </c>
      <c r="H1792">
        <v>0.70966791644349203</v>
      </c>
      <c r="I1792">
        <v>1.20621317621853</v>
      </c>
      <c r="J1792">
        <v>1.0767720049991101</v>
      </c>
      <c r="K1792">
        <v>1.06614890198179</v>
      </c>
      <c r="L1792">
        <v>10249.616790788201</v>
      </c>
      <c r="M1792">
        <v>250</v>
      </c>
      <c r="O1792">
        <v>40.995841155553002</v>
      </c>
      <c r="P1792">
        <v>0.27911299984072002</v>
      </c>
      <c r="Q1792">
        <v>1.1830795657078901</v>
      </c>
      <c r="R1792">
        <v>6.3859955199512805E-2</v>
      </c>
      <c r="S1792" t="s">
        <v>3666</v>
      </c>
      <c r="T1792" t="s">
        <v>3746</v>
      </c>
      <c r="U1792" t="s">
        <v>3746</v>
      </c>
      <c r="V1792" t="s">
        <v>3746</v>
      </c>
      <c r="W1792" t="s">
        <v>5525</v>
      </c>
      <c r="X1792">
        <v>1</v>
      </c>
      <c r="Y1792" t="s">
        <v>7310</v>
      </c>
      <c r="Z1792" t="s">
        <v>9180</v>
      </c>
      <c r="AA1792">
        <v>1.176971254392073</v>
      </c>
      <c r="AB1792" t="str">
        <f>HYPERLINK("Melting_Curves/meltCurve_Q9NY97_2_B3GNT2.pdf", "Melting_Curves/meltCurve_Q9NY97_2_B3GNT2.pdf")</f>
        <v>Melting_Curves/meltCurve_Q9NY97_2_B3GNT2.pdf</v>
      </c>
    </row>
    <row r="1793" spans="1:28" x14ac:dyDescent="0.25">
      <c r="A1793" t="s">
        <v>1797</v>
      </c>
      <c r="B1793">
        <v>1</v>
      </c>
      <c r="C1793">
        <v>1.1708066239316199</v>
      </c>
      <c r="D1793">
        <v>2.4453792735042699</v>
      </c>
      <c r="E1793">
        <v>3.5178952991452999</v>
      </c>
      <c r="F1793">
        <v>2.40032941595442</v>
      </c>
      <c r="G1793">
        <v>2.6129807692307701</v>
      </c>
      <c r="H1793">
        <v>1.73766915954416</v>
      </c>
      <c r="I1793">
        <v>2.6239316239316199</v>
      </c>
      <c r="J1793">
        <v>2.65656160968661</v>
      </c>
      <c r="K1793">
        <v>2.3886663105413102</v>
      </c>
      <c r="L1793">
        <v>10753.147127038999</v>
      </c>
      <c r="M1793">
        <v>250</v>
      </c>
      <c r="O1793">
        <v>43.009839813143302</v>
      </c>
      <c r="P1793">
        <v>0.72657798652513494</v>
      </c>
      <c r="Q1793">
        <v>1.5</v>
      </c>
      <c r="R1793">
        <v>-1.04585212330299</v>
      </c>
      <c r="S1793" t="s">
        <v>3667</v>
      </c>
      <c r="T1793" t="s">
        <v>3746</v>
      </c>
      <c r="U1793" t="s">
        <v>3746</v>
      </c>
      <c r="V1793" t="s">
        <v>3746</v>
      </c>
      <c r="W1793" t="s">
        <v>5526</v>
      </c>
      <c r="X1793">
        <v>50</v>
      </c>
      <c r="Y1793" t="s">
        <v>7311</v>
      </c>
      <c r="Z1793" t="s">
        <v>9181</v>
      </c>
      <c r="AA1793">
        <v>1.44975244830266</v>
      </c>
      <c r="AB1793" t="str">
        <f>HYPERLINK("Melting_Curves/meltCurve_Q9NYQ8_FAT2.pdf", "Melting_Curves/meltCurve_Q9NYQ8_FAT2.pdf")</f>
        <v>Melting_Curves/meltCurve_Q9NYQ8_FAT2.pdf</v>
      </c>
    </row>
    <row r="1794" spans="1:28" x14ac:dyDescent="0.25">
      <c r="A1794" t="s">
        <v>1798</v>
      </c>
      <c r="B1794">
        <v>1</v>
      </c>
      <c r="C1794">
        <v>1.2461432834984401</v>
      </c>
      <c r="D1794">
        <v>1.90713054687609</v>
      </c>
      <c r="E1794">
        <v>2.61822359848113</v>
      </c>
      <c r="F1794">
        <v>2.0154408776919999</v>
      </c>
      <c r="G1794">
        <v>2.7752945956928099</v>
      </c>
      <c r="H1794">
        <v>1.8110103826591399</v>
      </c>
      <c r="I1794">
        <v>3.2536535470582502</v>
      </c>
      <c r="J1794">
        <v>3.3766761479073599</v>
      </c>
      <c r="K1794">
        <v>3.0685591783547501</v>
      </c>
      <c r="S1794" t="s">
        <v>3668</v>
      </c>
      <c r="T1794" t="s">
        <v>3746</v>
      </c>
      <c r="U1794" t="s">
        <v>3747</v>
      </c>
      <c r="V1794" t="s">
        <v>3746</v>
      </c>
      <c r="W1794" t="s">
        <v>5527</v>
      </c>
      <c r="X1794">
        <v>5</v>
      </c>
      <c r="Y1794" t="s">
        <v>7312</v>
      </c>
      <c r="Z1794" t="s">
        <v>9182</v>
      </c>
      <c r="AB1794" t="str">
        <f>HYPERLINK("Melting_Curves/meltCurve_Q9NYU2_2_UGGT1.pdf", "Melting_Curves/meltCurve_Q9NYU2_2_UGGT1.pdf")</f>
        <v>Melting_Curves/meltCurve_Q9NYU2_2_UGGT1.pdf</v>
      </c>
    </row>
    <row r="1795" spans="1:28" x14ac:dyDescent="0.25">
      <c r="A1795" t="s">
        <v>1799</v>
      </c>
      <c r="B1795">
        <v>1</v>
      </c>
      <c r="C1795">
        <v>1.1343683681447601</v>
      </c>
      <c r="D1795">
        <v>1.9603484865408201</v>
      </c>
      <c r="E1795">
        <v>2.9910086004691201</v>
      </c>
      <c r="F1795">
        <v>2.4797274656539701</v>
      </c>
      <c r="G1795">
        <v>2.9326482743214601</v>
      </c>
      <c r="H1795">
        <v>1.6968613872445</v>
      </c>
      <c r="I1795">
        <v>2.7393052608064301</v>
      </c>
      <c r="J1795">
        <v>2.7885624930191</v>
      </c>
      <c r="K1795">
        <v>2.5477493577571799</v>
      </c>
      <c r="L1795">
        <v>10767.9445792263</v>
      </c>
      <c r="M1795">
        <v>250</v>
      </c>
      <c r="O1795">
        <v>43.069022251694904</v>
      </c>
      <c r="P1795">
        <v>0.72557951351304995</v>
      </c>
      <c r="Q1795">
        <v>1.5</v>
      </c>
      <c r="R1795">
        <v>-1.0050668185226701</v>
      </c>
      <c r="S1795" t="s">
        <v>3669</v>
      </c>
      <c r="T1795" t="s">
        <v>3746</v>
      </c>
      <c r="U1795" t="s">
        <v>3746</v>
      </c>
      <c r="V1795" t="s">
        <v>3746</v>
      </c>
      <c r="W1795" t="s">
        <v>5528</v>
      </c>
      <c r="X1795">
        <v>6</v>
      </c>
      <c r="Y1795" t="s">
        <v>7313</v>
      </c>
      <c r="Z1795" t="s">
        <v>9183</v>
      </c>
      <c r="AA1795">
        <v>1.4487658995566539</v>
      </c>
      <c r="AB1795" t="str">
        <f>HYPERLINK("Melting_Curves/meltCurve_Q9NZ08_ERAP1.pdf", "Melting_Curves/meltCurve_Q9NZ08_ERAP1.pdf")</f>
        <v>Melting_Curves/meltCurve_Q9NZ08_ERAP1.pdf</v>
      </c>
    </row>
    <row r="1796" spans="1:28" x14ac:dyDescent="0.25">
      <c r="A1796" t="s">
        <v>1800</v>
      </c>
      <c r="B1796">
        <v>1</v>
      </c>
      <c r="C1796">
        <v>1.11567997213294</v>
      </c>
      <c r="D1796">
        <v>1.28649239197555</v>
      </c>
      <c r="E1796">
        <v>1.6629985591462499</v>
      </c>
      <c r="F1796">
        <v>1.1674557056224999</v>
      </c>
      <c r="G1796">
        <v>1.4942920024700399</v>
      </c>
      <c r="H1796">
        <v>0.71323843754453198</v>
      </c>
      <c r="I1796">
        <v>1.2647845844482799</v>
      </c>
      <c r="J1796">
        <v>1.1743433031968</v>
      </c>
      <c r="K1796">
        <v>1.04216476400082</v>
      </c>
      <c r="L1796">
        <v>10722.8561819715</v>
      </c>
      <c r="M1796">
        <v>250</v>
      </c>
      <c r="O1796">
        <v>42.888679974154002</v>
      </c>
      <c r="P1796">
        <v>0.32893472509342803</v>
      </c>
      <c r="Q1796">
        <v>1.22572121817792</v>
      </c>
      <c r="R1796">
        <v>8.3161175704762794E-2</v>
      </c>
      <c r="S1796" t="s">
        <v>3670</v>
      </c>
      <c r="T1796" t="s">
        <v>3746</v>
      </c>
      <c r="U1796" t="s">
        <v>3746</v>
      </c>
      <c r="V1796" t="s">
        <v>3746</v>
      </c>
      <c r="W1796" t="s">
        <v>5529</v>
      </c>
      <c r="X1796">
        <v>3</v>
      </c>
      <c r="Y1796" t="s">
        <v>7314</v>
      </c>
      <c r="Z1796" t="s">
        <v>9184</v>
      </c>
      <c r="AA1796">
        <v>1.2039490302105471</v>
      </c>
      <c r="AB1796" t="str">
        <f>HYPERLINK("Melting_Curves/meltCurve_Q9NZ20_PLA2G3.pdf", "Melting_Curves/meltCurve_Q9NZ20_PLA2G3.pdf")</f>
        <v>Melting_Curves/meltCurve_Q9NZ20_PLA2G3.pdf</v>
      </c>
    </row>
    <row r="1797" spans="1:28" x14ac:dyDescent="0.25">
      <c r="A1797" t="s">
        <v>1801</v>
      </c>
      <c r="B1797">
        <v>1</v>
      </c>
      <c r="C1797">
        <v>1.0780224498558499</v>
      </c>
      <c r="D1797">
        <v>1.4653744709562699</v>
      </c>
      <c r="E1797">
        <v>1.8333026641313499</v>
      </c>
      <c r="F1797">
        <v>1.08528082765953</v>
      </c>
      <c r="G1797">
        <v>1.12003925657854</v>
      </c>
      <c r="H1797">
        <v>0.88396818581447201</v>
      </c>
      <c r="I1797">
        <v>1.37091332883518</v>
      </c>
      <c r="J1797">
        <v>1.06074546606964</v>
      </c>
      <c r="K1797">
        <v>0.98528900611339398</v>
      </c>
      <c r="L1797">
        <v>10752.3466631352</v>
      </c>
      <c r="M1797">
        <v>250</v>
      </c>
      <c r="O1797">
        <v>43.0066417804113</v>
      </c>
      <c r="P1797">
        <v>0.32787695173741299</v>
      </c>
      <c r="Q1797">
        <v>1.22561414657571</v>
      </c>
      <c r="R1797">
        <v>7.9493626866041306E-2</v>
      </c>
      <c r="S1797" t="s">
        <v>3671</v>
      </c>
      <c r="T1797" t="s">
        <v>3746</v>
      </c>
      <c r="U1797" t="s">
        <v>3746</v>
      </c>
      <c r="V1797" t="s">
        <v>3746</v>
      </c>
      <c r="W1797" t="s">
        <v>5530</v>
      </c>
      <c r="X1797">
        <v>1</v>
      </c>
      <c r="Y1797" t="s">
        <v>7315</v>
      </c>
      <c r="Z1797" t="s">
        <v>9185</v>
      </c>
      <c r="AA1797">
        <v>1.2029651103199741</v>
      </c>
      <c r="AB1797" t="str">
        <f>HYPERLINK("Melting_Curves/meltCurve_Q9NZJ5_EIF2AK3.pdf", "Melting_Curves/meltCurve_Q9NZJ5_EIF2AK3.pdf")</f>
        <v>Melting_Curves/meltCurve_Q9NZJ5_EIF2AK3.pdf</v>
      </c>
    </row>
    <row r="1798" spans="1:28" x14ac:dyDescent="0.25">
      <c r="A1798" t="s">
        <v>1802</v>
      </c>
      <c r="B1798">
        <v>1</v>
      </c>
      <c r="C1798">
        <v>1.07986105912473</v>
      </c>
      <c r="D1798">
        <v>1.6747765417496401</v>
      </c>
      <c r="E1798">
        <v>2.0655477534398301</v>
      </c>
      <c r="F1798">
        <v>1.3332185474090801</v>
      </c>
      <c r="G1798">
        <v>1.4073453010136101</v>
      </c>
      <c r="H1798">
        <v>0.98938479735293705</v>
      </c>
      <c r="I1798">
        <v>1.4778488119656801</v>
      </c>
      <c r="J1798">
        <v>1.4917279274153701</v>
      </c>
      <c r="K1798">
        <v>1.4262999505921501</v>
      </c>
      <c r="L1798">
        <v>10794.4832000113</v>
      </c>
      <c r="M1798">
        <v>250</v>
      </c>
      <c r="O1798">
        <v>43.175160711479499</v>
      </c>
      <c r="P1798">
        <v>0.69957558556942401</v>
      </c>
      <c r="Q1798">
        <v>1.4832687137462499</v>
      </c>
      <c r="R1798">
        <v>0.32785048696692498</v>
      </c>
      <c r="S1798" t="s">
        <v>3672</v>
      </c>
      <c r="T1798" t="s">
        <v>3746</v>
      </c>
      <c r="U1798" t="s">
        <v>3746</v>
      </c>
      <c r="V1798" t="s">
        <v>3746</v>
      </c>
      <c r="W1798" t="s">
        <v>5531</v>
      </c>
      <c r="X1798">
        <v>8</v>
      </c>
      <c r="Y1798" t="s">
        <v>7316</v>
      </c>
      <c r="Z1798" t="s">
        <v>9186</v>
      </c>
      <c r="AA1798">
        <v>1.432038910058933</v>
      </c>
      <c r="AB1798" t="str">
        <f>HYPERLINK("Melting_Curves/meltCurve_Q9NZP8_C1RL.pdf", "Melting_Curves/meltCurve_Q9NZP8_C1RL.pdf")</f>
        <v>Melting_Curves/meltCurve_Q9NZP8_C1RL.pdf</v>
      </c>
    </row>
    <row r="1799" spans="1:28" x14ac:dyDescent="0.25">
      <c r="A1799" t="s">
        <v>1803</v>
      </c>
      <c r="B1799">
        <v>1</v>
      </c>
      <c r="C1799">
        <v>1.04275988678957</v>
      </c>
      <c r="D1799">
        <v>1.2801703256074899</v>
      </c>
      <c r="E1799">
        <v>1.32321068869681</v>
      </c>
      <c r="F1799">
        <v>1.22137229404115</v>
      </c>
      <c r="G1799">
        <v>1.2437594023305001</v>
      </c>
      <c r="H1799">
        <v>0.67487697289578996</v>
      </c>
      <c r="I1799">
        <v>0.96731176215609804</v>
      </c>
      <c r="J1799">
        <v>1.10678497666947</v>
      </c>
      <c r="K1799">
        <v>0.89818710318978001</v>
      </c>
      <c r="L1799">
        <v>15000</v>
      </c>
      <c r="M1799">
        <v>212.108374122946</v>
      </c>
      <c r="Q1799">
        <v>0</v>
      </c>
      <c r="R1799">
        <v>-0.12947160341363301</v>
      </c>
      <c r="S1799" t="s">
        <v>3673</v>
      </c>
      <c r="T1799" t="s">
        <v>3746</v>
      </c>
      <c r="U1799" t="s">
        <v>3746</v>
      </c>
      <c r="V1799" t="s">
        <v>3746</v>
      </c>
      <c r="W1799" t="s">
        <v>5532</v>
      </c>
      <c r="X1799">
        <v>2</v>
      </c>
      <c r="Y1799" t="s">
        <v>7317</v>
      </c>
      <c r="Z1799" t="s">
        <v>9187</v>
      </c>
      <c r="AA1799">
        <v>0.99884194626332623</v>
      </c>
      <c r="AB1799" t="str">
        <f>HYPERLINK("Melting_Curves/meltCurve_Q9NZT1_CALML5.pdf", "Melting_Curves/meltCurve_Q9NZT1_CALML5.pdf")</f>
        <v>Melting_Curves/meltCurve_Q9NZT1_CALML5.pdf</v>
      </c>
    </row>
    <row r="1800" spans="1:28" x14ac:dyDescent="0.25">
      <c r="A1800" t="s">
        <v>1804</v>
      </c>
      <c r="B1800">
        <v>1</v>
      </c>
      <c r="C1800">
        <v>0.92538553785950195</v>
      </c>
      <c r="D1800">
        <v>1.12894742378658</v>
      </c>
      <c r="E1800">
        <v>1.2934716290421</v>
      </c>
      <c r="F1800">
        <v>0.78731775052071296</v>
      </c>
      <c r="G1800">
        <v>0.97429046306620903</v>
      </c>
      <c r="H1800">
        <v>0.53276808819507304</v>
      </c>
      <c r="I1800">
        <v>0.88344448885990201</v>
      </c>
      <c r="J1800">
        <v>0.84803601859838795</v>
      </c>
      <c r="K1800">
        <v>0.78011192695293596</v>
      </c>
      <c r="L1800">
        <v>1758.1424649630201</v>
      </c>
      <c r="M1800">
        <v>31.970220644367298</v>
      </c>
      <c r="O1800">
        <v>54.7793050640988</v>
      </c>
      <c r="P1800">
        <v>-3.2036934918002302E-2</v>
      </c>
      <c r="Q1800">
        <v>0.78042664516200999</v>
      </c>
      <c r="R1800">
        <v>0.37834553332956999</v>
      </c>
      <c r="S1800" t="s">
        <v>3674</v>
      </c>
      <c r="T1800" t="s">
        <v>3746</v>
      </c>
      <c r="U1800" t="s">
        <v>3746</v>
      </c>
      <c r="V1800" t="s">
        <v>3746</v>
      </c>
      <c r="W1800" t="s">
        <v>5533</v>
      </c>
      <c r="X1800">
        <v>16</v>
      </c>
      <c r="Y1800" t="s">
        <v>7318</v>
      </c>
      <c r="Z1800" t="s">
        <v>9188</v>
      </c>
      <c r="AA1800">
        <v>0.89145322778419611</v>
      </c>
      <c r="AB1800" t="str">
        <f>HYPERLINK("Melting_Curves/meltCurve_Q9NZV1_CRIM1.pdf", "Melting_Curves/meltCurve_Q9NZV1_CRIM1.pdf")</f>
        <v>Melting_Curves/meltCurve_Q9NZV1_CRIM1.pdf</v>
      </c>
    </row>
    <row r="1801" spans="1:28" x14ac:dyDescent="0.25">
      <c r="A1801" t="s">
        <v>1805</v>
      </c>
      <c r="B1801">
        <v>1</v>
      </c>
      <c r="C1801">
        <v>1.02983241203826</v>
      </c>
      <c r="D1801">
        <v>1.23681670615074</v>
      </c>
      <c r="E1801">
        <v>1.0209704308151299</v>
      </c>
      <c r="F1801">
        <v>1.06563130648416</v>
      </c>
      <c r="G1801">
        <v>1.10186891287181</v>
      </c>
      <c r="H1801">
        <v>0.56284109853470199</v>
      </c>
      <c r="I1801">
        <v>0.98596121786434998</v>
      </c>
      <c r="J1801">
        <v>0.62004036149863995</v>
      </c>
      <c r="K1801">
        <v>0.95779591120470298</v>
      </c>
      <c r="L1801">
        <v>3563.68804862971</v>
      </c>
      <c r="M1801">
        <v>60.785341794954697</v>
      </c>
      <c r="O1801">
        <v>58.5640591141659</v>
      </c>
      <c r="P1801">
        <v>-5.5342064848833E-2</v>
      </c>
      <c r="Q1801">
        <v>0.78672125954329697</v>
      </c>
      <c r="R1801">
        <v>0.40160356662380697</v>
      </c>
      <c r="S1801" t="s">
        <v>3675</v>
      </c>
      <c r="T1801" t="s">
        <v>3746</v>
      </c>
      <c r="U1801" t="s">
        <v>3746</v>
      </c>
      <c r="V1801" t="s">
        <v>3746</v>
      </c>
      <c r="W1801" t="s">
        <v>5534</v>
      </c>
      <c r="X1801">
        <v>2</v>
      </c>
      <c r="Y1801" t="s">
        <v>7319</v>
      </c>
      <c r="Z1801" t="s">
        <v>9189</v>
      </c>
      <c r="AA1801">
        <v>0.91952103937322982</v>
      </c>
      <c r="AB1801" t="str">
        <f>HYPERLINK("Melting_Curves/meltCurve_Q9NZZ3_2_CHMP5.pdf", "Melting_Curves/meltCurve_Q9NZZ3_2_CHMP5.pdf")</f>
        <v>Melting_Curves/meltCurve_Q9NZZ3_2_CHMP5.pdf</v>
      </c>
    </row>
    <row r="1802" spans="1:28" x14ac:dyDescent="0.25">
      <c r="A1802" t="s">
        <v>1806</v>
      </c>
      <c r="B1802">
        <v>1</v>
      </c>
      <c r="C1802">
        <v>1.35850549450549</v>
      </c>
      <c r="D1802">
        <v>3.7649230769230799</v>
      </c>
      <c r="E1802">
        <v>5.1179780219780202</v>
      </c>
      <c r="F1802">
        <v>3.3217582417582401</v>
      </c>
      <c r="G1802">
        <v>2.73591208791209</v>
      </c>
      <c r="H1802">
        <v>0.98329670329670305</v>
      </c>
      <c r="I1802">
        <v>3.4671648351648301</v>
      </c>
      <c r="J1802">
        <v>2.5455824175824202</v>
      </c>
      <c r="K1802">
        <v>1.92861538461538</v>
      </c>
      <c r="L1802">
        <v>733.53950763352304</v>
      </c>
      <c r="M1802">
        <v>29.4166618545623</v>
      </c>
      <c r="Q1802">
        <v>1.5</v>
      </c>
      <c r="R1802">
        <v>-0.77989825355697695</v>
      </c>
      <c r="S1802" t="s">
        <v>3676</v>
      </c>
      <c r="T1802" t="s">
        <v>3746</v>
      </c>
      <c r="U1802" t="s">
        <v>3746</v>
      </c>
      <c r="V1802" t="s">
        <v>3746</v>
      </c>
      <c r="W1802" t="s">
        <v>5535</v>
      </c>
      <c r="X1802">
        <v>1</v>
      </c>
      <c r="Y1802" t="s">
        <v>7320</v>
      </c>
      <c r="Z1802" t="s">
        <v>9190</v>
      </c>
      <c r="AA1802">
        <v>1.4999993649746679</v>
      </c>
      <c r="AB1802" t="str">
        <f>HYPERLINK("Melting_Curves/meltCurve_Q9P055_JKAMP.pdf", "Melting_Curves/meltCurve_Q9P055_JKAMP.pdf")</f>
        <v>Melting_Curves/meltCurve_Q9P055_JKAMP.pdf</v>
      </c>
    </row>
    <row r="1803" spans="1:28" x14ac:dyDescent="0.25">
      <c r="A1803" t="s">
        <v>1807</v>
      </c>
      <c r="B1803">
        <v>1</v>
      </c>
      <c r="C1803">
        <v>0.99128341023123201</v>
      </c>
      <c r="D1803">
        <v>1.3486501392233099</v>
      </c>
      <c r="E1803">
        <v>1.4999798227088701</v>
      </c>
      <c r="F1803">
        <v>1.1499038215789401</v>
      </c>
      <c r="G1803">
        <v>1.3961340310192201</v>
      </c>
      <c r="H1803">
        <v>0.61455993328042402</v>
      </c>
      <c r="I1803">
        <v>1.18299457903445</v>
      </c>
      <c r="J1803">
        <v>1.11328876393915</v>
      </c>
      <c r="K1803">
        <v>1.03496051976702</v>
      </c>
      <c r="L1803">
        <v>11033.3494591616</v>
      </c>
      <c r="M1803">
        <v>250</v>
      </c>
      <c r="O1803">
        <v>44.130573518120997</v>
      </c>
      <c r="P1803">
        <v>0.23730437382552999</v>
      </c>
      <c r="Q1803">
        <v>1.1675580499282601</v>
      </c>
      <c r="R1803">
        <v>8.2923605615265503E-2</v>
      </c>
      <c r="S1803" t="s">
        <v>3677</v>
      </c>
      <c r="T1803" t="s">
        <v>3746</v>
      </c>
      <c r="U1803" t="s">
        <v>3746</v>
      </c>
      <c r="V1803" t="s">
        <v>3746</v>
      </c>
      <c r="W1803" t="s">
        <v>5536</v>
      </c>
      <c r="X1803">
        <v>3</v>
      </c>
      <c r="Y1803" t="s">
        <v>7321</v>
      </c>
      <c r="Z1803" t="s">
        <v>9191</v>
      </c>
      <c r="AA1803">
        <v>1.1444589359469699</v>
      </c>
      <c r="AB1803" t="str">
        <f>HYPERLINK("Melting_Curves/meltCurve_Q9P0L0_VAPA.pdf", "Melting_Curves/meltCurve_Q9P0L0_VAPA.pdf")</f>
        <v>Melting_Curves/meltCurve_Q9P0L0_VAPA.pdf</v>
      </c>
    </row>
    <row r="1804" spans="1:28" x14ac:dyDescent="0.25">
      <c r="A1804" t="s">
        <v>1808</v>
      </c>
      <c r="B1804">
        <v>1</v>
      </c>
      <c r="C1804">
        <v>1.156446182572</v>
      </c>
      <c r="D1804">
        <v>1.1661055324404199</v>
      </c>
      <c r="E1804">
        <v>1.5374097652057599</v>
      </c>
      <c r="F1804">
        <v>0.83765823250069804</v>
      </c>
      <c r="G1804">
        <v>1.35748415837217</v>
      </c>
      <c r="H1804">
        <v>0.70088360262875504</v>
      </c>
      <c r="I1804">
        <v>1.1542849581722201</v>
      </c>
      <c r="J1804">
        <v>1.00517517679404</v>
      </c>
      <c r="K1804">
        <v>0.99844156607906898</v>
      </c>
      <c r="L1804">
        <v>10239.6265346009</v>
      </c>
      <c r="M1804">
        <v>250</v>
      </c>
      <c r="O1804">
        <v>40.955885622252801</v>
      </c>
      <c r="P1804">
        <v>0.15495824740276901</v>
      </c>
      <c r="Q1804">
        <v>1.1015432346109799</v>
      </c>
      <c r="R1804">
        <v>1.7682075112419801E-2</v>
      </c>
      <c r="S1804" t="s">
        <v>3678</v>
      </c>
      <c r="T1804" t="s">
        <v>3746</v>
      </c>
      <c r="U1804" t="s">
        <v>3746</v>
      </c>
      <c r="V1804" t="s">
        <v>3746</v>
      </c>
      <c r="W1804" t="s">
        <v>5537</v>
      </c>
      <c r="X1804">
        <v>1</v>
      </c>
      <c r="Y1804" t="s">
        <v>7322</v>
      </c>
      <c r="Z1804" t="s">
        <v>9192</v>
      </c>
      <c r="AA1804">
        <v>1.0982902969838559</v>
      </c>
      <c r="AB1804" t="str">
        <f>HYPERLINK("Melting_Curves/meltCurve_Q9P0S2_COX16.pdf", "Melting_Curves/meltCurve_Q9P0S2_COX16.pdf")</f>
        <v>Melting_Curves/meltCurve_Q9P0S2_COX16.pdf</v>
      </c>
    </row>
    <row r="1805" spans="1:28" x14ac:dyDescent="0.25">
      <c r="A1805" t="s">
        <v>1809</v>
      </c>
      <c r="B1805">
        <v>1</v>
      </c>
      <c r="C1805">
        <v>0.86591852241510303</v>
      </c>
      <c r="D1805">
        <v>1.0012274241627199</v>
      </c>
      <c r="E1805">
        <v>1.40014027704717</v>
      </c>
      <c r="F1805">
        <v>0.75439826991641801</v>
      </c>
      <c r="G1805">
        <v>1.0197556841428499</v>
      </c>
      <c r="H1805">
        <v>0.64334560757496095</v>
      </c>
      <c r="I1805">
        <v>0.95493599859723</v>
      </c>
      <c r="J1805">
        <v>0.95926120755158095</v>
      </c>
      <c r="K1805">
        <v>0.82424454965223004</v>
      </c>
      <c r="L1805">
        <v>12900.353178264</v>
      </c>
      <c r="M1805">
        <v>250</v>
      </c>
      <c r="O1805">
        <v>51.598110562590897</v>
      </c>
      <c r="P1805">
        <v>-0.17038209411032901</v>
      </c>
      <c r="Q1805">
        <v>0.85933769408191296</v>
      </c>
      <c r="R1805">
        <v>0.23248177098768899</v>
      </c>
      <c r="S1805" t="s">
        <v>3679</v>
      </c>
      <c r="T1805" t="s">
        <v>3746</v>
      </c>
      <c r="U1805" t="s">
        <v>3746</v>
      </c>
      <c r="V1805" t="s">
        <v>3746</v>
      </c>
      <c r="W1805" t="s">
        <v>5538</v>
      </c>
      <c r="X1805">
        <v>1</v>
      </c>
      <c r="Y1805" t="s">
        <v>7323</v>
      </c>
      <c r="Z1805" t="s">
        <v>9193</v>
      </c>
      <c r="AA1805">
        <v>0.91374648121898727</v>
      </c>
      <c r="AB1805" t="str">
        <f>HYPERLINK("Melting_Curves/meltCurve_Q9P1F3_ABRACL.pdf", "Melting_Curves/meltCurve_Q9P1F3_ABRACL.pdf")</f>
        <v>Melting_Curves/meltCurve_Q9P1F3_ABRACL.pdf</v>
      </c>
    </row>
    <row r="1806" spans="1:28" x14ac:dyDescent="0.25">
      <c r="A1806" t="s">
        <v>1810</v>
      </c>
      <c r="B1806">
        <v>1</v>
      </c>
      <c r="C1806">
        <v>1.0358040201005001</v>
      </c>
      <c r="D1806">
        <v>1.3820573455512899</v>
      </c>
      <c r="E1806">
        <v>1.4390334023056499</v>
      </c>
      <c r="F1806">
        <v>0.81780224652675104</v>
      </c>
      <c r="G1806">
        <v>0.95111587348507198</v>
      </c>
      <c r="H1806">
        <v>0.74386639077741601</v>
      </c>
      <c r="I1806">
        <v>0.989062961868164</v>
      </c>
      <c r="J1806">
        <v>0.95558675731599196</v>
      </c>
      <c r="K1806">
        <v>0.89465710907478602</v>
      </c>
      <c r="L1806">
        <v>12910.753526173001</v>
      </c>
      <c r="M1806">
        <v>250</v>
      </c>
      <c r="O1806">
        <v>51.639726226501899</v>
      </c>
      <c r="P1806">
        <v>-0.13068216652949299</v>
      </c>
      <c r="Q1806">
        <v>0.89202577451278797</v>
      </c>
      <c r="R1806">
        <v>0.14565060639578101</v>
      </c>
      <c r="S1806" t="s">
        <v>3680</v>
      </c>
      <c r="T1806" t="s">
        <v>3746</v>
      </c>
      <c r="U1806" t="s">
        <v>3746</v>
      </c>
      <c r="V1806" t="s">
        <v>3746</v>
      </c>
      <c r="W1806" t="s">
        <v>5539</v>
      </c>
      <c r="X1806">
        <v>7</v>
      </c>
      <c r="Y1806" t="s">
        <v>7324</v>
      </c>
      <c r="Z1806" t="s">
        <v>9194</v>
      </c>
      <c r="AA1806">
        <v>0.93394040818322221</v>
      </c>
      <c r="AB1806" t="str">
        <f>HYPERLINK("Melting_Curves/meltCurve_Q9P2B2_PTGFRN.pdf", "Melting_Curves/meltCurve_Q9P2B2_PTGFRN.pdf")</f>
        <v>Melting_Curves/meltCurve_Q9P2B2_PTGFRN.pdf</v>
      </c>
    </row>
    <row r="1807" spans="1:28" x14ac:dyDescent="0.25">
      <c r="A1807" t="s">
        <v>1811</v>
      </c>
      <c r="B1807">
        <v>1</v>
      </c>
      <c r="C1807">
        <v>1.0337854500616499</v>
      </c>
      <c r="D1807">
        <v>1.34371146732429</v>
      </c>
      <c r="E1807">
        <v>1.5148581997533901</v>
      </c>
      <c r="F1807">
        <v>0.98409371146732405</v>
      </c>
      <c r="G1807">
        <v>1.1971639950678199</v>
      </c>
      <c r="H1807">
        <v>0.80067817509247796</v>
      </c>
      <c r="I1807">
        <v>1.1607891491985201</v>
      </c>
      <c r="J1807">
        <v>1.1976572133168899</v>
      </c>
      <c r="K1807">
        <v>1.1057953144266299</v>
      </c>
      <c r="L1807">
        <v>10782.5786670332</v>
      </c>
      <c r="M1807">
        <v>250</v>
      </c>
      <c r="O1807">
        <v>43.127554606011998</v>
      </c>
      <c r="P1807">
        <v>0.23635324339090499</v>
      </c>
      <c r="Q1807">
        <v>1.1630933984097001</v>
      </c>
      <c r="R1807">
        <v>9.6540536369009597E-2</v>
      </c>
      <c r="S1807" t="s">
        <v>3681</v>
      </c>
      <c r="T1807" t="s">
        <v>3746</v>
      </c>
      <c r="U1807" t="s">
        <v>3746</v>
      </c>
      <c r="V1807" t="s">
        <v>3746</v>
      </c>
      <c r="W1807" t="s">
        <v>5540</v>
      </c>
      <c r="X1807">
        <v>24</v>
      </c>
      <c r="Y1807" t="s">
        <v>7325</v>
      </c>
      <c r="Z1807" t="s">
        <v>9195</v>
      </c>
      <c r="AA1807">
        <v>1.146063264796239</v>
      </c>
      <c r="AB1807" t="str">
        <f>HYPERLINK("Melting_Curves/meltCurve_Q9P2E9_2_RRBP1.pdf", "Melting_Curves/meltCurve_Q9P2E9_2_RRBP1.pdf")</f>
        <v>Melting_Curves/meltCurve_Q9P2E9_2_RRBP1.pdf</v>
      </c>
    </row>
    <row r="1808" spans="1:28" x14ac:dyDescent="0.25">
      <c r="A1808" t="s">
        <v>1812</v>
      </c>
      <c r="B1808">
        <v>1</v>
      </c>
      <c r="C1808">
        <v>1.1411344987513401</v>
      </c>
      <c r="D1808">
        <v>1.77766678558687</v>
      </c>
      <c r="E1808">
        <v>2.43285765251516</v>
      </c>
      <c r="F1808">
        <v>1.7606493043167999</v>
      </c>
      <c r="G1808">
        <v>2.0447377809489802</v>
      </c>
      <c r="H1808">
        <v>1.36521584017125</v>
      </c>
      <c r="I1808">
        <v>2.0616482340349598</v>
      </c>
      <c r="J1808">
        <v>2.1121298608633601</v>
      </c>
      <c r="K1808">
        <v>1.8572600784873301</v>
      </c>
      <c r="L1808">
        <v>10765.035720878201</v>
      </c>
      <c r="M1808">
        <v>250</v>
      </c>
      <c r="O1808">
        <v>43.057387527094001</v>
      </c>
      <c r="P1808">
        <v>0.72577557491785005</v>
      </c>
      <c r="Q1808">
        <v>1.5</v>
      </c>
      <c r="R1808">
        <v>-0.14569513266487699</v>
      </c>
      <c r="S1808" t="s">
        <v>3682</v>
      </c>
      <c r="T1808" t="s">
        <v>3746</v>
      </c>
      <c r="U1808" t="s">
        <v>3746</v>
      </c>
      <c r="V1808" t="s">
        <v>3746</v>
      </c>
      <c r="W1808" t="s">
        <v>5541</v>
      </c>
      <c r="X1808">
        <v>8</v>
      </c>
      <c r="Y1808" t="s">
        <v>7326</v>
      </c>
      <c r="Z1808" t="s">
        <v>9196</v>
      </c>
      <c r="AA1808">
        <v>1.4489598336556739</v>
      </c>
      <c r="AB1808" t="str">
        <f>HYPERLINK("Melting_Curves/meltCurve_Q9P2K2_TXNDC16.pdf", "Melting_Curves/meltCurve_Q9P2K2_TXNDC16.pdf")</f>
        <v>Melting_Curves/meltCurve_Q9P2K2_TXNDC16.pdf</v>
      </c>
    </row>
    <row r="1809" spans="1:28" x14ac:dyDescent="0.25">
      <c r="A1809" t="s">
        <v>1813</v>
      </c>
      <c r="B1809">
        <v>1</v>
      </c>
      <c r="C1809">
        <v>0.98138226156281105</v>
      </c>
      <c r="D1809">
        <v>1.2420423237000999</v>
      </c>
      <c r="E1809">
        <v>1.3737030306583</v>
      </c>
      <c r="F1809">
        <v>0.839498212087461</v>
      </c>
      <c r="G1809">
        <v>0.63933407585438795</v>
      </c>
      <c r="H1809">
        <v>0.59230904507884397</v>
      </c>
      <c r="I1809">
        <v>0.77462922797350398</v>
      </c>
      <c r="J1809">
        <v>0.86865584149129504</v>
      </c>
      <c r="K1809">
        <v>0.82527697989331095</v>
      </c>
      <c r="L1809">
        <v>13224.6361370947</v>
      </c>
      <c r="M1809">
        <v>250</v>
      </c>
      <c r="O1809">
        <v>52.8951836679759</v>
      </c>
      <c r="P1809">
        <v>-0.30716307005798998</v>
      </c>
      <c r="Q1809">
        <v>0.74004096664699304</v>
      </c>
      <c r="R1809">
        <v>0.53083597617343903</v>
      </c>
      <c r="S1809" t="s">
        <v>3683</v>
      </c>
      <c r="T1809" t="s">
        <v>3746</v>
      </c>
      <c r="U1809" t="s">
        <v>3746</v>
      </c>
      <c r="V1809" t="s">
        <v>3746</v>
      </c>
      <c r="W1809" t="s">
        <v>5542</v>
      </c>
      <c r="X1809">
        <v>1</v>
      </c>
      <c r="Y1809" t="s">
        <v>7327</v>
      </c>
      <c r="Z1809" t="s">
        <v>9197</v>
      </c>
      <c r="AA1809">
        <v>0.85183487265087432</v>
      </c>
      <c r="AB1809" t="str">
        <f>HYPERLINK("Melting_Curves/meltCurve_Q9P2X0_DPM3.pdf", "Melting_Curves/meltCurve_Q9P2X0_DPM3.pdf")</f>
        <v>Melting_Curves/meltCurve_Q9P2X0_DPM3.pdf</v>
      </c>
    </row>
    <row r="1810" spans="1:28" x14ac:dyDescent="0.25">
      <c r="A1810" t="s">
        <v>1814</v>
      </c>
      <c r="B1810">
        <v>1</v>
      </c>
      <c r="C1810">
        <v>1.03637023593466</v>
      </c>
      <c r="D1810">
        <v>1.4399274047186901</v>
      </c>
      <c r="E1810">
        <v>1.7501996370235899</v>
      </c>
      <c r="F1810">
        <v>1.24399274047187</v>
      </c>
      <c r="G1810">
        <v>1.29306715063521</v>
      </c>
      <c r="H1810">
        <v>0.90076225045372005</v>
      </c>
      <c r="I1810">
        <v>1.51949183303085</v>
      </c>
      <c r="J1810">
        <v>1.52624319419238</v>
      </c>
      <c r="K1810">
        <v>1.38025408348457</v>
      </c>
      <c r="L1810">
        <v>10821.5620660936</v>
      </c>
      <c r="M1810">
        <v>250</v>
      </c>
      <c r="O1810">
        <v>43.283482711942298</v>
      </c>
      <c r="P1810">
        <v>0.55122404051140605</v>
      </c>
      <c r="Q1810">
        <v>1.3817422997475599</v>
      </c>
      <c r="R1810">
        <v>0.32670846178416302</v>
      </c>
      <c r="S1810" t="s">
        <v>3684</v>
      </c>
      <c r="T1810" t="s">
        <v>3746</v>
      </c>
      <c r="U1810" t="s">
        <v>3746</v>
      </c>
      <c r="V1810" t="s">
        <v>3746</v>
      </c>
      <c r="W1810" t="s">
        <v>5543</v>
      </c>
      <c r="X1810">
        <v>2</v>
      </c>
      <c r="Y1810" t="s">
        <v>7328</v>
      </c>
      <c r="Z1810" t="s">
        <v>9198</v>
      </c>
      <c r="AA1810">
        <v>1.339896634379476</v>
      </c>
      <c r="AB1810" t="str">
        <f>HYPERLINK("Melting_Curves/meltCurve_Q9UBI6_GNG12.pdf", "Melting_Curves/meltCurve_Q9UBI6_GNG12.pdf")</f>
        <v>Melting_Curves/meltCurve_Q9UBI6_GNG12.pdf</v>
      </c>
    </row>
    <row r="1811" spans="1:28" x14ac:dyDescent="0.25">
      <c r="A1811" t="s">
        <v>1815</v>
      </c>
      <c r="B1811">
        <v>1</v>
      </c>
      <c r="C1811">
        <v>1.1529790357183201</v>
      </c>
      <c r="D1811">
        <v>1.5137378147465099</v>
      </c>
      <c r="E1811">
        <v>2.7195227520794898</v>
      </c>
      <c r="F1811">
        <v>2.9538183597425598</v>
      </c>
      <c r="G1811">
        <v>3.3638827204637001</v>
      </c>
      <c r="H1811">
        <v>1.96319018404908</v>
      </c>
      <c r="I1811">
        <v>3.2816440212277498</v>
      </c>
      <c r="J1811">
        <v>3.3789378599119302</v>
      </c>
      <c r="K1811">
        <v>3.1192367044299698</v>
      </c>
      <c r="L1811">
        <v>10760.138714339801</v>
      </c>
      <c r="M1811">
        <v>250</v>
      </c>
      <c r="O1811">
        <v>43.037778416111401</v>
      </c>
      <c r="P1811">
        <v>0.726105876926329</v>
      </c>
      <c r="Q1811">
        <v>1.5</v>
      </c>
      <c r="R1811">
        <v>-1.0610156559147501</v>
      </c>
      <c r="S1811" t="s">
        <v>3685</v>
      </c>
      <c r="T1811" t="s">
        <v>3746</v>
      </c>
      <c r="U1811" t="s">
        <v>3746</v>
      </c>
      <c r="V1811" t="s">
        <v>3746</v>
      </c>
      <c r="W1811" t="s">
        <v>5544</v>
      </c>
      <c r="X1811">
        <v>8</v>
      </c>
      <c r="Y1811" t="s">
        <v>7329</v>
      </c>
      <c r="Z1811" t="s">
        <v>9199</v>
      </c>
      <c r="AA1811">
        <v>1.449286317944986</v>
      </c>
      <c r="AB1811" t="str">
        <f>HYPERLINK("Melting_Curves/meltCurve_Q9UBR2_CTSZ.pdf", "Melting_Curves/meltCurve_Q9UBR2_CTSZ.pdf")</f>
        <v>Melting_Curves/meltCurve_Q9UBR2_CTSZ.pdf</v>
      </c>
    </row>
    <row r="1812" spans="1:28" x14ac:dyDescent="0.25">
      <c r="A1812" t="s">
        <v>1816</v>
      </c>
      <c r="B1812">
        <v>1</v>
      </c>
      <c r="C1812">
        <v>1.0369268329900101</v>
      </c>
      <c r="D1812">
        <v>1.3192950331883699</v>
      </c>
      <c r="E1812">
        <v>1.60280766002899</v>
      </c>
      <c r="F1812">
        <v>1.1661707484550199</v>
      </c>
      <c r="G1812">
        <v>1.32219424734874</v>
      </c>
      <c r="H1812">
        <v>0.366796368352789</v>
      </c>
      <c r="I1812">
        <v>1.0806439307240401</v>
      </c>
      <c r="J1812">
        <v>1.0426489662012699</v>
      </c>
      <c r="K1812">
        <v>0.85969329365987601</v>
      </c>
      <c r="L1812">
        <v>10744.446604005199</v>
      </c>
      <c r="M1812">
        <v>250</v>
      </c>
      <c r="O1812">
        <v>42.975036055479499</v>
      </c>
      <c r="P1812">
        <v>0.13820709228487499</v>
      </c>
      <c r="Q1812">
        <v>1.0950312764224299</v>
      </c>
      <c r="R1812">
        <v>1.0442995427457399E-2</v>
      </c>
      <c r="S1812" t="s">
        <v>3686</v>
      </c>
      <c r="T1812" t="s">
        <v>3746</v>
      </c>
      <c r="U1812" t="s">
        <v>3746</v>
      </c>
      <c r="V1812" t="s">
        <v>3746</v>
      </c>
      <c r="W1812" t="s">
        <v>5545</v>
      </c>
      <c r="X1812">
        <v>1</v>
      </c>
      <c r="Y1812" t="s">
        <v>7330</v>
      </c>
      <c r="Z1812" t="s">
        <v>9200</v>
      </c>
      <c r="AA1812">
        <v>1.08559134718424</v>
      </c>
      <c r="AB1812" t="str">
        <f>HYPERLINK("Melting_Curves/meltCurve_Q9UBS3_DNAJB9.pdf", "Melting_Curves/meltCurve_Q9UBS3_DNAJB9.pdf")</f>
        <v>Melting_Curves/meltCurve_Q9UBS3_DNAJB9.pdf</v>
      </c>
    </row>
    <row r="1813" spans="1:28" x14ac:dyDescent="0.25">
      <c r="A1813" t="s">
        <v>1817</v>
      </c>
      <c r="B1813">
        <v>1</v>
      </c>
      <c r="C1813">
        <v>1.0200320989122</v>
      </c>
      <c r="D1813">
        <v>1.60494561017654</v>
      </c>
      <c r="E1813">
        <v>1.78966296142186</v>
      </c>
      <c r="F1813">
        <v>1.53495214884384</v>
      </c>
      <c r="G1813">
        <v>1.64581228080604</v>
      </c>
      <c r="H1813">
        <v>1.1403881590679401</v>
      </c>
      <c r="I1813">
        <v>1.8167092670748399</v>
      </c>
      <c r="J1813">
        <v>1.8110622362242199</v>
      </c>
      <c r="K1813">
        <v>1.6276823396540501</v>
      </c>
      <c r="L1813">
        <v>10861.261559823601</v>
      </c>
      <c r="M1813">
        <v>250</v>
      </c>
      <c r="O1813">
        <v>43.442243247761702</v>
      </c>
      <c r="P1813">
        <v>0.71934553022725001</v>
      </c>
      <c r="Q1813">
        <v>1.5</v>
      </c>
      <c r="R1813">
        <v>0.51077797887883403</v>
      </c>
      <c r="S1813" t="s">
        <v>3687</v>
      </c>
      <c r="T1813" t="s">
        <v>3746</v>
      </c>
      <c r="U1813" t="s">
        <v>3746</v>
      </c>
      <c r="V1813" t="s">
        <v>3746</v>
      </c>
      <c r="W1813" t="s">
        <v>5546</v>
      </c>
      <c r="X1813">
        <v>2</v>
      </c>
      <c r="Y1813" t="s">
        <v>7331</v>
      </c>
      <c r="Z1813" t="s">
        <v>9201</v>
      </c>
      <c r="AA1813">
        <v>1.4425444399873431</v>
      </c>
      <c r="AB1813" t="str">
        <f>HYPERLINK("Melting_Curves/meltCurve_Q9UBX1_CTSF.pdf", "Melting_Curves/meltCurve_Q9UBX1_CTSF.pdf")</f>
        <v>Melting_Curves/meltCurve_Q9UBX1_CTSF.pdf</v>
      </c>
    </row>
    <row r="1814" spans="1:28" x14ac:dyDescent="0.25">
      <c r="A1814" t="s">
        <v>1818</v>
      </c>
      <c r="B1814">
        <v>1</v>
      </c>
      <c r="C1814">
        <v>1.27979373567609</v>
      </c>
      <c r="D1814">
        <v>1.90145148968678</v>
      </c>
      <c r="E1814">
        <v>2.39677234530176</v>
      </c>
      <c r="F1814">
        <v>1.8562834224598901</v>
      </c>
      <c r="G1814">
        <v>1.84100458365164</v>
      </c>
      <c r="H1814">
        <v>1.2358670741023701</v>
      </c>
      <c r="I1814">
        <v>1.52645148968678</v>
      </c>
      <c r="J1814">
        <v>1.8458747135217699</v>
      </c>
      <c r="K1814">
        <v>1.6939457601222301</v>
      </c>
      <c r="L1814">
        <v>10714.7259443808</v>
      </c>
      <c r="M1814">
        <v>250</v>
      </c>
      <c r="O1814">
        <v>42.856139892284901</v>
      </c>
      <c r="P1814">
        <v>0.72918336875727796</v>
      </c>
      <c r="Q1814">
        <v>1.5</v>
      </c>
      <c r="R1814">
        <v>3.3418020141453501E-2</v>
      </c>
      <c r="S1814" t="s">
        <v>3688</v>
      </c>
      <c r="T1814" t="s">
        <v>3746</v>
      </c>
      <c r="U1814" t="s">
        <v>3746</v>
      </c>
      <c r="V1814" t="s">
        <v>3746</v>
      </c>
      <c r="W1814" t="s">
        <v>5547</v>
      </c>
      <c r="X1814">
        <v>1</v>
      </c>
      <c r="Y1814" t="s">
        <v>7332</v>
      </c>
      <c r="Z1814" t="s">
        <v>9202</v>
      </c>
      <c r="AA1814">
        <v>1.4523139953104709</v>
      </c>
      <c r="AB1814" t="str">
        <f>HYPERLINK("Melting_Curves/meltCurve_Q9UEL6_MPZL1.pdf", "Melting_Curves/meltCurve_Q9UEL6_MPZL1.pdf")</f>
        <v>Melting_Curves/meltCurve_Q9UEL6_MPZL1.pdf</v>
      </c>
    </row>
    <row r="1815" spans="1:28" x14ac:dyDescent="0.25">
      <c r="A1815" t="s">
        <v>1819</v>
      </c>
      <c r="B1815">
        <v>1</v>
      </c>
      <c r="C1815">
        <v>0.87260006508298105</v>
      </c>
      <c r="D1815">
        <v>1.1241457858769901</v>
      </c>
      <c r="E1815">
        <v>1.3625935567848999</v>
      </c>
      <c r="F1815">
        <v>0.88683696713309501</v>
      </c>
      <c r="G1815">
        <v>1.19492352749756</v>
      </c>
      <c r="H1815">
        <v>0.42013504718516098</v>
      </c>
      <c r="I1815">
        <v>0.99829157175398597</v>
      </c>
      <c r="J1815">
        <v>0.90595509274324804</v>
      </c>
      <c r="K1815">
        <v>0.83013342011064095</v>
      </c>
      <c r="L1815">
        <v>2854.4291352954901</v>
      </c>
      <c r="M1815">
        <v>48.784034342557099</v>
      </c>
      <c r="O1815">
        <v>58.413475687972301</v>
      </c>
      <c r="P1815">
        <v>-3.9531679640475201E-2</v>
      </c>
      <c r="Q1815">
        <v>0.81066095775162095</v>
      </c>
      <c r="R1815">
        <v>0.22035516021107601</v>
      </c>
      <c r="S1815" t="s">
        <v>3689</v>
      </c>
      <c r="T1815" t="s">
        <v>3746</v>
      </c>
      <c r="U1815" t="s">
        <v>3746</v>
      </c>
      <c r="V1815" t="s">
        <v>3746</v>
      </c>
      <c r="W1815" t="s">
        <v>5548</v>
      </c>
      <c r="X1815">
        <v>4</v>
      </c>
      <c r="Y1815" t="s">
        <v>7333</v>
      </c>
      <c r="Z1815" t="s">
        <v>9203</v>
      </c>
      <c r="AA1815">
        <v>0.92800257408586595</v>
      </c>
      <c r="AB1815" t="str">
        <f>HYPERLINK("Melting_Curves/meltCurve_Q9UHD0_IL19.pdf", "Melting_Curves/meltCurve_Q9UHD0_IL19.pdf")</f>
        <v>Melting_Curves/meltCurve_Q9UHD0_IL19.pdf</v>
      </c>
    </row>
    <row r="1816" spans="1:28" x14ac:dyDescent="0.25">
      <c r="A1816" t="s">
        <v>1820</v>
      </c>
      <c r="B1816">
        <v>1</v>
      </c>
      <c r="C1816">
        <v>1.0191525114894799</v>
      </c>
      <c r="D1816">
        <v>1.3845686635758101</v>
      </c>
      <c r="E1816">
        <v>1.53023707812848</v>
      </c>
      <c r="F1816">
        <v>1.28848217358735</v>
      </c>
      <c r="G1816">
        <v>1.44548822707671</v>
      </c>
      <c r="H1816">
        <v>0.98426902597534105</v>
      </c>
      <c r="I1816">
        <v>1.7590144352438599</v>
      </c>
      <c r="J1816">
        <v>1.5916627862247701</v>
      </c>
      <c r="K1816">
        <v>1.48851051768469</v>
      </c>
      <c r="L1816">
        <v>3243.76397412914</v>
      </c>
      <c r="M1816">
        <v>72.452088711021602</v>
      </c>
      <c r="O1816">
        <v>44.737109423905302</v>
      </c>
      <c r="P1816">
        <v>0.17856131447569401</v>
      </c>
      <c r="Q1816">
        <v>1.4410258712997099</v>
      </c>
      <c r="R1816">
        <v>0.44310191274534999</v>
      </c>
      <c r="S1816" t="s">
        <v>3690</v>
      </c>
      <c r="T1816" t="s">
        <v>3746</v>
      </c>
      <c r="U1816" t="s">
        <v>3746</v>
      </c>
      <c r="V1816" t="s">
        <v>3746</v>
      </c>
      <c r="W1816" t="s">
        <v>5549</v>
      </c>
      <c r="X1816">
        <v>2</v>
      </c>
      <c r="Y1816" t="s">
        <v>7334</v>
      </c>
      <c r="Z1816" t="s">
        <v>9204</v>
      </c>
      <c r="AA1816">
        <v>1.370470885382731</v>
      </c>
      <c r="AB1816" t="str">
        <f>HYPERLINK("Melting_Curves/meltCurve_Q9UHD8_3_SEPT9.pdf", "Melting_Curves/meltCurve_Q9UHD8_3_SEPT9.pdf")</f>
        <v>Melting_Curves/meltCurve_Q9UHD8_3_SEPT9.pdf</v>
      </c>
    </row>
    <row r="1817" spans="1:28" x14ac:dyDescent="0.25">
      <c r="A1817" t="s">
        <v>1821</v>
      </c>
      <c r="B1817">
        <v>1</v>
      </c>
      <c r="C1817">
        <v>1.36795733827962</v>
      </c>
      <c r="D1817">
        <v>1.9776363214805099</v>
      </c>
      <c r="E1817">
        <v>2.7452943532238701</v>
      </c>
      <c r="F1817">
        <v>1.50159138334422</v>
      </c>
      <c r="G1817">
        <v>2.0828151676748901</v>
      </c>
      <c r="H1817">
        <v>1.03701283645638</v>
      </c>
      <c r="I1817">
        <v>1.7571612250490101</v>
      </c>
      <c r="J1817">
        <v>1.6619943932719301</v>
      </c>
      <c r="K1817">
        <v>1.87382754041692</v>
      </c>
      <c r="L1817">
        <v>248.840570916936</v>
      </c>
      <c r="M1817">
        <v>22.291405983552899</v>
      </c>
      <c r="Q1817">
        <v>1.5</v>
      </c>
      <c r="R1817">
        <v>-0.16545623061075401</v>
      </c>
      <c r="S1817" t="s">
        <v>3691</v>
      </c>
      <c r="T1817" t="s">
        <v>3746</v>
      </c>
      <c r="U1817" t="s">
        <v>3746</v>
      </c>
      <c r="V1817" t="s">
        <v>3746</v>
      </c>
      <c r="W1817" t="s">
        <v>5550</v>
      </c>
      <c r="X1817">
        <v>1</v>
      </c>
      <c r="Y1817" t="s">
        <v>7335</v>
      </c>
      <c r="Z1817" t="s">
        <v>9205</v>
      </c>
      <c r="AA1817">
        <v>1.4999999854709021</v>
      </c>
      <c r="AB1817" t="str">
        <f>HYPERLINK("Melting_Curves/meltCurve_Q9UHG2_PCSK1N.pdf", "Melting_Curves/meltCurve_Q9UHG2_PCSK1N.pdf")</f>
        <v>Melting_Curves/meltCurve_Q9UHG2_PCSK1N.pdf</v>
      </c>
    </row>
    <row r="1818" spans="1:28" x14ac:dyDescent="0.25">
      <c r="A1818" t="s">
        <v>1822</v>
      </c>
      <c r="B1818">
        <v>1</v>
      </c>
      <c r="C1818">
        <v>1.11758493223024</v>
      </c>
      <c r="D1818">
        <v>1.6337792642140501</v>
      </c>
      <c r="E1818">
        <v>2.05122337616617</v>
      </c>
      <c r="F1818">
        <v>1.7452913219503601</v>
      </c>
      <c r="G1818">
        <v>2.0006160887167801</v>
      </c>
      <c r="H1818">
        <v>0.99955993663087495</v>
      </c>
      <c r="I1818">
        <v>1.8805668016194299</v>
      </c>
      <c r="J1818">
        <v>1.6686322830487601</v>
      </c>
      <c r="K1818">
        <v>1.47984509769407</v>
      </c>
      <c r="L1818">
        <v>10775.5938938979</v>
      </c>
      <c r="M1818">
        <v>250</v>
      </c>
      <c r="O1818">
        <v>43.099610492691703</v>
      </c>
      <c r="P1818">
        <v>0.72506444314840701</v>
      </c>
      <c r="Q1818">
        <v>1.5</v>
      </c>
      <c r="R1818">
        <v>0.25566504714778998</v>
      </c>
      <c r="S1818" t="s">
        <v>3692</v>
      </c>
      <c r="T1818" t="s">
        <v>3746</v>
      </c>
      <c r="U1818" t="s">
        <v>3746</v>
      </c>
      <c r="V1818" t="s">
        <v>3746</v>
      </c>
      <c r="W1818" t="s">
        <v>5551</v>
      </c>
      <c r="X1818">
        <v>3</v>
      </c>
      <c r="Y1818" t="s">
        <v>7336</v>
      </c>
      <c r="Z1818" t="s">
        <v>9206</v>
      </c>
      <c r="AA1818">
        <v>1.448255918398329</v>
      </c>
      <c r="AB1818" t="str">
        <f>HYPERLINK("Melting_Curves/meltCurve_Q9UHI8_ADAMTS1.pdf", "Melting_Curves/meltCurve_Q9UHI8_ADAMTS1.pdf")</f>
        <v>Melting_Curves/meltCurve_Q9UHI8_ADAMTS1.pdf</v>
      </c>
    </row>
    <row r="1819" spans="1:28" x14ac:dyDescent="0.25">
      <c r="A1819" t="s">
        <v>1823</v>
      </c>
      <c r="B1819">
        <v>1</v>
      </c>
      <c r="C1819">
        <v>1.3017316674894599</v>
      </c>
      <c r="D1819">
        <v>2.0033797896175898</v>
      </c>
      <c r="E1819">
        <v>2.7355409562146402</v>
      </c>
      <c r="F1819">
        <v>1.8314662210914101</v>
      </c>
      <c r="G1819">
        <v>1.9671135077659201</v>
      </c>
      <c r="H1819">
        <v>1.27805415258421</v>
      </c>
      <c r="I1819">
        <v>1.85628299092394</v>
      </c>
      <c r="J1819">
        <v>1.9840124558538701</v>
      </c>
      <c r="K1819">
        <v>1.8893023962328599</v>
      </c>
      <c r="L1819">
        <v>1.0000000000000001E-5</v>
      </c>
      <c r="M1819">
        <v>30.2391587787424</v>
      </c>
      <c r="Q1819">
        <v>1.5</v>
      </c>
      <c r="R1819">
        <v>-0.37716245409927901</v>
      </c>
      <c r="S1819" t="s">
        <v>3693</v>
      </c>
      <c r="T1819" t="s">
        <v>3746</v>
      </c>
      <c r="U1819" t="s">
        <v>3746</v>
      </c>
      <c r="V1819" t="s">
        <v>3746</v>
      </c>
      <c r="W1819" t="s">
        <v>5552</v>
      </c>
      <c r="X1819">
        <v>11</v>
      </c>
      <c r="Y1819" t="s">
        <v>7337</v>
      </c>
      <c r="Z1819" t="s">
        <v>9207</v>
      </c>
      <c r="AA1819">
        <v>1.4999999999999629</v>
      </c>
      <c r="AB1819" t="str">
        <f>HYPERLINK("Melting_Curves/meltCurve_Q9UHL4_DPP7.pdf", "Melting_Curves/meltCurve_Q9UHL4_DPP7.pdf")</f>
        <v>Melting_Curves/meltCurve_Q9UHL4_DPP7.pdf</v>
      </c>
    </row>
    <row r="1820" spans="1:28" x14ac:dyDescent="0.25">
      <c r="A1820" t="s">
        <v>1824</v>
      </c>
      <c r="B1820">
        <v>1</v>
      </c>
      <c r="C1820">
        <v>0.90699430695945105</v>
      </c>
      <c r="D1820">
        <v>1.35529220401998</v>
      </c>
      <c r="E1820">
        <v>1.48193331009643</v>
      </c>
      <c r="F1820">
        <v>0.89938422214476599</v>
      </c>
      <c r="G1820">
        <v>1.6017195306146199</v>
      </c>
      <c r="H1820">
        <v>0.74753107935401397</v>
      </c>
      <c r="I1820">
        <v>1.3301382595561799</v>
      </c>
      <c r="J1820">
        <v>1.3345532705937</v>
      </c>
      <c r="K1820">
        <v>1.07203439061229</v>
      </c>
      <c r="L1820">
        <v>11093.527083892501</v>
      </c>
      <c r="M1820">
        <v>250</v>
      </c>
      <c r="O1820">
        <v>44.371268757862801</v>
      </c>
      <c r="P1820">
        <v>0.32090713222669898</v>
      </c>
      <c r="Q1820">
        <v>1.2278249051344701</v>
      </c>
      <c r="R1820">
        <v>0.15898761889077401</v>
      </c>
      <c r="S1820" t="s">
        <v>3694</v>
      </c>
      <c r="T1820" t="s">
        <v>3746</v>
      </c>
      <c r="U1820" t="s">
        <v>3746</v>
      </c>
      <c r="V1820" t="s">
        <v>3746</v>
      </c>
      <c r="W1820" t="s">
        <v>5553</v>
      </c>
      <c r="X1820">
        <v>1</v>
      </c>
      <c r="Y1820" t="s">
        <v>7338</v>
      </c>
      <c r="Z1820" t="s">
        <v>9208</v>
      </c>
      <c r="AA1820">
        <v>1.194589469185247</v>
      </c>
      <c r="AB1820" t="str">
        <f>HYPERLINK("Melting_Curves/meltCurve_Q9UHV9_PFDN2.pdf", "Melting_Curves/meltCurve_Q9UHV9_PFDN2.pdf")</f>
        <v>Melting_Curves/meltCurve_Q9UHV9_PFDN2.pdf</v>
      </c>
    </row>
    <row r="1821" spans="1:28" x14ac:dyDescent="0.25">
      <c r="A1821" t="s">
        <v>1825</v>
      </c>
      <c r="B1821">
        <v>1</v>
      </c>
      <c r="C1821">
        <v>0.98804370232941696</v>
      </c>
      <c r="D1821">
        <v>1.2560296846011101</v>
      </c>
      <c r="E1821">
        <v>1.3495842781557099</v>
      </c>
      <c r="F1821">
        <v>1.0153576582148001</v>
      </c>
      <c r="G1821">
        <v>1.1581117295403001</v>
      </c>
      <c r="H1821">
        <v>0.72067614924757795</v>
      </c>
      <c r="I1821">
        <v>1.0437023294166199</v>
      </c>
      <c r="J1821">
        <v>1.0702604274032801</v>
      </c>
      <c r="K1821">
        <v>0.93454957740671996</v>
      </c>
      <c r="L1821">
        <v>15000</v>
      </c>
      <c r="M1821">
        <v>211.62685301512701</v>
      </c>
      <c r="Q1821">
        <v>0</v>
      </c>
      <c r="R1821">
        <v>-8.9498816444239002E-2</v>
      </c>
      <c r="S1821" t="s">
        <v>3695</v>
      </c>
      <c r="T1821" t="s">
        <v>3746</v>
      </c>
      <c r="U1821" t="s">
        <v>3746</v>
      </c>
      <c r="V1821" t="s">
        <v>3746</v>
      </c>
      <c r="W1821" t="s">
        <v>5554</v>
      </c>
      <c r="X1821">
        <v>5</v>
      </c>
      <c r="Y1821" t="s">
        <v>7339</v>
      </c>
      <c r="Z1821" t="s">
        <v>9209</v>
      </c>
      <c r="AA1821">
        <v>0.99926988745242973</v>
      </c>
      <c r="AB1821" t="str">
        <f>HYPERLINK("Melting_Curves/meltCurve_Q9UJJ9_GNPTG.pdf", "Melting_Curves/meltCurve_Q9UJJ9_GNPTG.pdf")</f>
        <v>Melting_Curves/meltCurve_Q9UJJ9_GNPTG.pdf</v>
      </c>
    </row>
    <row r="1822" spans="1:28" x14ac:dyDescent="0.25">
      <c r="A1822" t="s">
        <v>1826</v>
      </c>
      <c r="B1822">
        <v>1</v>
      </c>
      <c r="C1822">
        <v>1.5222298098695299</v>
      </c>
      <c r="D1822">
        <v>1.24355748840887</v>
      </c>
      <c r="E1822">
        <v>1.70810121122812</v>
      </c>
      <c r="F1822">
        <v>1.3226287603781</v>
      </c>
      <c r="G1822">
        <v>1.63104266254538</v>
      </c>
      <c r="H1822">
        <v>0.92405563742227703</v>
      </c>
      <c r="I1822">
        <v>1.4886784315135</v>
      </c>
      <c r="J1822">
        <v>1.43124393487402</v>
      </c>
      <c r="K1822">
        <v>1.51496962944327</v>
      </c>
      <c r="L1822">
        <v>10250.7913386169</v>
      </c>
      <c r="M1822">
        <v>250</v>
      </c>
      <c r="O1822">
        <v>41.000541622667598</v>
      </c>
      <c r="P1822">
        <v>0.64133826540760597</v>
      </c>
      <c r="Q1822">
        <v>1.4207234573877401</v>
      </c>
      <c r="R1822">
        <v>0.26651643145912002</v>
      </c>
      <c r="S1822" t="s">
        <v>3696</v>
      </c>
      <c r="T1822" t="s">
        <v>3746</v>
      </c>
      <c r="U1822" t="s">
        <v>3746</v>
      </c>
      <c r="V1822" t="s">
        <v>3746</v>
      </c>
      <c r="W1822" t="s">
        <v>5555</v>
      </c>
      <c r="X1822">
        <v>1</v>
      </c>
      <c r="Y1822" t="s">
        <v>7340</v>
      </c>
      <c r="Z1822" t="s">
        <v>9210</v>
      </c>
      <c r="AA1822">
        <v>1.406620568568729</v>
      </c>
      <c r="AB1822" t="str">
        <f>HYPERLINK("Melting_Curves/meltCurve_Q9UJW0_2_DCTN4.pdf", "Melting_Curves/meltCurve_Q9UJW0_2_DCTN4.pdf")</f>
        <v>Melting_Curves/meltCurve_Q9UJW0_2_DCTN4.pdf</v>
      </c>
    </row>
    <row r="1823" spans="1:28" x14ac:dyDescent="0.25">
      <c r="A1823" t="s">
        <v>1827</v>
      </c>
      <c r="B1823">
        <v>1</v>
      </c>
      <c r="C1823">
        <v>0.809868442214288</v>
      </c>
      <c r="D1823">
        <v>1.16066776030107</v>
      </c>
      <c r="E1823">
        <v>1.16703657242111</v>
      </c>
      <c r="F1823">
        <v>0.83997555405448898</v>
      </c>
      <c r="G1823">
        <v>0.77011161504069003</v>
      </c>
      <c r="H1823">
        <v>0.62945093119753004</v>
      </c>
      <c r="I1823">
        <v>0.93299880986844197</v>
      </c>
      <c r="J1823">
        <v>0.900575766348226</v>
      </c>
      <c r="K1823">
        <v>0.87259159188137303</v>
      </c>
      <c r="L1823">
        <v>13136.6060562737</v>
      </c>
      <c r="M1823">
        <v>250</v>
      </c>
      <c r="O1823">
        <v>52.543078172122001</v>
      </c>
      <c r="P1823">
        <v>-0.21274829884716701</v>
      </c>
      <c r="Q1823">
        <v>0.82114484837764701</v>
      </c>
      <c r="R1823">
        <v>0.402516813051849</v>
      </c>
      <c r="S1823" t="s">
        <v>3697</v>
      </c>
      <c r="T1823" t="s">
        <v>3746</v>
      </c>
      <c r="U1823" t="s">
        <v>3746</v>
      </c>
      <c r="V1823" t="s">
        <v>3746</v>
      </c>
      <c r="W1823" t="s">
        <v>5556</v>
      </c>
      <c r="X1823">
        <v>2</v>
      </c>
      <c r="Y1823" t="s">
        <v>7341</v>
      </c>
      <c r="Z1823" t="s">
        <v>9211</v>
      </c>
      <c r="AA1823">
        <v>0.89596109563997139</v>
      </c>
      <c r="AB1823" t="str">
        <f>HYPERLINK("Melting_Curves/meltCurve_Q9UKS6_PACSIN3.pdf", "Melting_Curves/meltCurve_Q9UKS6_PACSIN3.pdf")</f>
        <v>Melting_Curves/meltCurve_Q9UKS6_PACSIN3.pdf</v>
      </c>
    </row>
    <row r="1824" spans="1:28" x14ac:dyDescent="0.25">
      <c r="A1824" t="s">
        <v>1828</v>
      </c>
      <c r="B1824">
        <v>1</v>
      </c>
      <c r="C1824">
        <v>1.0028392236630199</v>
      </c>
      <c r="D1824">
        <v>1.2032375625053</v>
      </c>
      <c r="E1824">
        <v>1.34447834562251</v>
      </c>
      <c r="F1824">
        <v>0.86087804051190797</v>
      </c>
      <c r="G1824">
        <v>1.0966607339605099</v>
      </c>
      <c r="H1824">
        <v>0.55297059072802801</v>
      </c>
      <c r="I1824">
        <v>0.89922874819900001</v>
      </c>
      <c r="J1824">
        <v>0.94876684464785199</v>
      </c>
      <c r="K1824">
        <v>0.86731926434443596</v>
      </c>
      <c r="L1824">
        <v>3947.9743205612699</v>
      </c>
      <c r="M1824">
        <v>67.485506134642804</v>
      </c>
      <c r="O1824">
        <v>58.449761157423303</v>
      </c>
      <c r="P1824">
        <v>-5.2321890688790999E-2</v>
      </c>
      <c r="Q1824">
        <v>0.81873432930805201</v>
      </c>
      <c r="R1824">
        <v>0.28364526289416397</v>
      </c>
      <c r="S1824" t="s">
        <v>3698</v>
      </c>
      <c r="T1824" t="s">
        <v>3746</v>
      </c>
      <c r="U1824" t="s">
        <v>3746</v>
      </c>
      <c r="V1824" t="s">
        <v>3746</v>
      </c>
      <c r="W1824" t="s">
        <v>5557</v>
      </c>
      <c r="X1824">
        <v>3</v>
      </c>
      <c r="Y1824" t="s">
        <v>7342</v>
      </c>
      <c r="Z1824" t="s">
        <v>9212</v>
      </c>
      <c r="AA1824">
        <v>0.93077729045984614</v>
      </c>
      <c r="AB1824" t="str">
        <f>HYPERLINK("Melting_Curves/meltCurve_Q9UKY7_CDV3.pdf", "Melting_Curves/meltCurve_Q9UKY7_CDV3.pdf")</f>
        <v>Melting_Curves/meltCurve_Q9UKY7_CDV3.pdf</v>
      </c>
    </row>
    <row r="1825" spans="1:28" x14ac:dyDescent="0.25">
      <c r="A1825" t="s">
        <v>1829</v>
      </c>
      <c r="B1825">
        <v>1</v>
      </c>
      <c r="C1825">
        <v>0.96566747346862802</v>
      </c>
      <c r="D1825">
        <v>1.5031465276484799</v>
      </c>
      <c r="E1825">
        <v>1.81984732824427</v>
      </c>
      <c r="F1825">
        <v>1.45682368274064</v>
      </c>
      <c r="G1825">
        <v>1.6492645689815699</v>
      </c>
      <c r="H1825">
        <v>1.0943213554272899</v>
      </c>
      <c r="I1825">
        <v>1.6963693911748301</v>
      </c>
      <c r="J1825">
        <v>1.8144851982871</v>
      </c>
      <c r="K1825">
        <v>1.5341277229566199</v>
      </c>
      <c r="L1825">
        <v>11151.7753802568</v>
      </c>
      <c r="M1825">
        <v>250</v>
      </c>
      <c r="O1825">
        <v>44.604250891198298</v>
      </c>
      <c r="P1825">
        <v>0.70060593241711699</v>
      </c>
      <c r="Q1825">
        <v>1.5</v>
      </c>
      <c r="R1825">
        <v>0.54333970675662402</v>
      </c>
      <c r="S1825" t="s">
        <v>3699</v>
      </c>
      <c r="T1825" t="s">
        <v>3746</v>
      </c>
      <c r="U1825" t="s">
        <v>3746</v>
      </c>
      <c r="V1825" t="s">
        <v>3746</v>
      </c>
      <c r="W1825" t="s">
        <v>5558</v>
      </c>
      <c r="X1825">
        <v>4</v>
      </c>
      <c r="Y1825" t="s">
        <v>7343</v>
      </c>
      <c r="Z1825" t="s">
        <v>9213</v>
      </c>
      <c r="AA1825">
        <v>1.4231758322650809</v>
      </c>
      <c r="AB1825" t="str">
        <f>HYPERLINK("Melting_Curves/meltCurve_Q9UL25_RAB21.pdf", "Melting_Curves/meltCurve_Q9UL25_RAB21.pdf")</f>
        <v>Melting_Curves/meltCurve_Q9UL25_RAB21.pdf</v>
      </c>
    </row>
    <row r="1826" spans="1:28" x14ac:dyDescent="0.25">
      <c r="A1826" t="s">
        <v>1830</v>
      </c>
      <c r="B1826">
        <v>1</v>
      </c>
      <c r="C1826">
        <v>0.71969876379481801</v>
      </c>
      <c r="D1826">
        <v>1.39312272059868</v>
      </c>
      <c r="E1826">
        <v>1.67418178373514</v>
      </c>
      <c r="F1826">
        <v>0.90148249893430599</v>
      </c>
      <c r="G1826">
        <v>0.92213328281153795</v>
      </c>
      <c r="H1826">
        <v>0.54170416331170401</v>
      </c>
      <c r="I1826">
        <v>1.11092691706532</v>
      </c>
      <c r="J1826">
        <v>1.19632453938332</v>
      </c>
      <c r="K1826">
        <v>1.0001420925496101</v>
      </c>
      <c r="L1826">
        <v>1494.4011854435801</v>
      </c>
      <c r="M1826">
        <v>22.034220127593201</v>
      </c>
      <c r="O1826">
        <v>67.270608039283402</v>
      </c>
      <c r="P1826">
        <v>8.1757569410958603E-3</v>
      </c>
      <c r="Q1826">
        <v>1.0998403369448699</v>
      </c>
      <c r="R1826">
        <v>-1.4465104517200801E-2</v>
      </c>
      <c r="S1826" t="s">
        <v>3700</v>
      </c>
      <c r="T1826" t="s">
        <v>3746</v>
      </c>
      <c r="U1826" t="s">
        <v>3746</v>
      </c>
      <c r="V1826" t="s">
        <v>3746</v>
      </c>
      <c r="W1826" t="s">
        <v>5559</v>
      </c>
      <c r="X1826">
        <v>2</v>
      </c>
      <c r="Y1826" t="s">
        <v>7344</v>
      </c>
      <c r="Z1826" t="s">
        <v>9214</v>
      </c>
      <c r="AA1826">
        <v>1.0106722951936451</v>
      </c>
      <c r="AB1826" t="str">
        <f>HYPERLINK("Melting_Curves/meltCurve_Q9UL26_RAB22A.pdf", "Melting_Curves/meltCurve_Q9UL26_RAB22A.pdf")</f>
        <v>Melting_Curves/meltCurve_Q9UL26_RAB22A.pdf</v>
      </c>
    </row>
    <row r="1827" spans="1:28" x14ac:dyDescent="0.25">
      <c r="A1827" t="s">
        <v>1831</v>
      </c>
      <c r="B1827">
        <v>1</v>
      </c>
      <c r="C1827">
        <v>1.0040043525571301</v>
      </c>
      <c r="D1827">
        <v>1.4763873775843299</v>
      </c>
      <c r="E1827">
        <v>1.76162495466086</v>
      </c>
      <c r="F1827">
        <v>1.4594124047878101</v>
      </c>
      <c r="G1827">
        <v>1.5254261878853801</v>
      </c>
      <c r="H1827">
        <v>1.1124845846935101</v>
      </c>
      <c r="I1827">
        <v>1.6751541530649301</v>
      </c>
      <c r="J1827">
        <v>1.8169024301777299</v>
      </c>
      <c r="K1827">
        <v>1.6890823358723299</v>
      </c>
      <c r="L1827">
        <v>5034.2049002129097</v>
      </c>
      <c r="M1827">
        <v>112.44794566837299</v>
      </c>
      <c r="O1827">
        <v>44.755049908500403</v>
      </c>
      <c r="P1827">
        <v>0.31406498925982501</v>
      </c>
      <c r="Q1827">
        <v>1.5</v>
      </c>
      <c r="R1827">
        <v>0.54980767134019104</v>
      </c>
      <c r="S1827" t="s">
        <v>3701</v>
      </c>
      <c r="T1827" t="s">
        <v>3746</v>
      </c>
      <c r="U1827" t="s">
        <v>3746</v>
      </c>
      <c r="V1827" t="s">
        <v>3746</v>
      </c>
      <c r="W1827" t="s">
        <v>5560</v>
      </c>
      <c r="X1827">
        <v>2</v>
      </c>
      <c r="Y1827" t="s">
        <v>7345</v>
      </c>
      <c r="Z1827" t="s">
        <v>9215</v>
      </c>
      <c r="AA1827">
        <v>1.4203189288894491</v>
      </c>
      <c r="AB1827" t="str">
        <f>HYPERLINK("Melting_Curves/meltCurve_Q9ULC4_MCTS1.pdf", "Melting_Curves/meltCurve_Q9ULC4_MCTS1.pdf")</f>
        <v>Melting_Curves/meltCurve_Q9ULC4_MCTS1.pdf</v>
      </c>
    </row>
    <row r="1828" spans="1:28" x14ac:dyDescent="0.25">
      <c r="A1828" t="s">
        <v>1832</v>
      </c>
      <c r="B1828">
        <v>1</v>
      </c>
      <c r="C1828">
        <v>0.95541844094898798</v>
      </c>
      <c r="D1828">
        <v>1.2764404275658301</v>
      </c>
      <c r="E1828">
        <v>1.44138350569219</v>
      </c>
      <c r="F1828">
        <v>1.4290431911010699</v>
      </c>
      <c r="G1828">
        <v>1.55122968627792</v>
      </c>
      <c r="H1828">
        <v>0.77630138176761998</v>
      </c>
      <c r="I1828">
        <v>0.86396975753888905</v>
      </c>
      <c r="J1828">
        <v>1.01407838706874</v>
      </c>
      <c r="K1828">
        <v>0.99591552967758801</v>
      </c>
      <c r="L1828">
        <v>11080.900223795399</v>
      </c>
      <c r="M1828">
        <v>250</v>
      </c>
      <c r="O1828">
        <v>44.320762421447299</v>
      </c>
      <c r="P1828">
        <v>0.237677363715038</v>
      </c>
      <c r="Q1828">
        <v>1.1685446791543499</v>
      </c>
      <c r="R1828">
        <v>8.6778163405393294E-2</v>
      </c>
      <c r="S1828" t="s">
        <v>3702</v>
      </c>
      <c r="T1828" t="s">
        <v>3746</v>
      </c>
      <c r="U1828" t="s">
        <v>3746</v>
      </c>
      <c r="V1828" t="s">
        <v>3746</v>
      </c>
      <c r="W1828" t="s">
        <v>5561</v>
      </c>
      <c r="X1828">
        <v>2</v>
      </c>
      <c r="Y1828" t="s">
        <v>7346</v>
      </c>
      <c r="Z1828" t="s">
        <v>9216</v>
      </c>
      <c r="AA1828">
        <v>1.1442409043416739</v>
      </c>
      <c r="AB1828" t="str">
        <f>HYPERLINK("Melting_Curves/meltCurve_Q9ULM3_YEATS2.pdf", "Melting_Curves/meltCurve_Q9ULM3_YEATS2.pdf")</f>
        <v>Melting_Curves/meltCurve_Q9ULM3_YEATS2.pdf</v>
      </c>
    </row>
    <row r="1829" spans="1:28" x14ac:dyDescent="0.25">
      <c r="A1829" t="s">
        <v>1833</v>
      </c>
      <c r="B1829">
        <v>1</v>
      </c>
      <c r="C1829">
        <v>1.15568513119534</v>
      </c>
      <c r="D1829">
        <v>1.5936276551436901</v>
      </c>
      <c r="E1829">
        <v>2.3959600166597301</v>
      </c>
      <c r="F1829">
        <v>1.9889212827988301</v>
      </c>
      <c r="G1829">
        <v>2.23427738442316</v>
      </c>
      <c r="H1829">
        <v>1.4292378175760101</v>
      </c>
      <c r="I1829">
        <v>2.0368179925031198</v>
      </c>
      <c r="J1829">
        <v>2.1603082049146201</v>
      </c>
      <c r="K1829">
        <v>1.9454394002499</v>
      </c>
      <c r="L1829">
        <v>10759.050621569801</v>
      </c>
      <c r="M1829">
        <v>250</v>
      </c>
      <c r="O1829">
        <v>43.033438950222703</v>
      </c>
      <c r="P1829">
        <v>0.72617931248546597</v>
      </c>
      <c r="Q1829">
        <v>1.5</v>
      </c>
      <c r="R1829">
        <v>-0.24536483448211799</v>
      </c>
      <c r="S1829" t="s">
        <v>3703</v>
      </c>
      <c r="T1829" t="s">
        <v>3746</v>
      </c>
      <c r="U1829" t="s">
        <v>3746</v>
      </c>
      <c r="V1829" t="s">
        <v>3746</v>
      </c>
      <c r="W1829" t="s">
        <v>5562</v>
      </c>
      <c r="X1829">
        <v>3</v>
      </c>
      <c r="Y1829" t="s">
        <v>7347</v>
      </c>
      <c r="Z1829" t="s">
        <v>9217</v>
      </c>
      <c r="AA1829">
        <v>1.449358861281778</v>
      </c>
      <c r="AB1829" t="str">
        <f>HYPERLINK("Melting_Curves/meltCurve_Q9ULZ3_2_PYCARD.pdf", "Melting_Curves/meltCurve_Q9ULZ3_2_PYCARD.pdf")</f>
        <v>Melting_Curves/meltCurve_Q9ULZ3_2_PYCARD.pdf</v>
      </c>
    </row>
    <row r="1830" spans="1:28" x14ac:dyDescent="0.25">
      <c r="A1830" t="s">
        <v>1834</v>
      </c>
      <c r="B1830">
        <v>1</v>
      </c>
      <c r="C1830">
        <v>1.0351950700863599</v>
      </c>
      <c r="D1830">
        <v>1.25307034674305</v>
      </c>
      <c r="E1830">
        <v>1.3721520635333899</v>
      </c>
      <c r="F1830">
        <v>1.0748166471379601</v>
      </c>
      <c r="G1830">
        <v>1.25497982033589</v>
      </c>
      <c r="H1830">
        <v>0.49416308640368001</v>
      </c>
      <c r="I1830">
        <v>1.0592370785053999</v>
      </c>
      <c r="J1830">
        <v>0.94803194028555304</v>
      </c>
      <c r="K1830">
        <v>0.85511869114264605</v>
      </c>
      <c r="L1830">
        <v>2054.4584979239398</v>
      </c>
      <c r="M1830">
        <v>34.954740278500303</v>
      </c>
      <c r="O1830">
        <v>58.583445614898203</v>
      </c>
      <c r="P1830">
        <v>-1.9842507013411399E-2</v>
      </c>
      <c r="Q1830">
        <v>0.86697789051596097</v>
      </c>
      <c r="R1830">
        <v>9.1700103333550498E-2</v>
      </c>
      <c r="S1830" t="s">
        <v>3704</v>
      </c>
      <c r="T1830" t="s">
        <v>3746</v>
      </c>
      <c r="U1830" t="s">
        <v>3746</v>
      </c>
      <c r="V1830" t="s">
        <v>3746</v>
      </c>
      <c r="W1830" t="s">
        <v>5563</v>
      </c>
      <c r="X1830">
        <v>4</v>
      </c>
      <c r="Y1830" t="s">
        <v>7348</v>
      </c>
      <c r="Z1830" t="s">
        <v>9218</v>
      </c>
      <c r="AA1830">
        <v>0.95089482502052691</v>
      </c>
      <c r="AB1830" t="str">
        <f>HYPERLINK("Melting_Curves/meltCurve_Q9UMX0_2_UBQLN1.pdf", "Melting_Curves/meltCurve_Q9UMX0_2_UBQLN1.pdf")</f>
        <v>Melting_Curves/meltCurve_Q9UMX0_2_UBQLN1.pdf</v>
      </c>
    </row>
    <row r="1831" spans="1:28" x14ac:dyDescent="0.25">
      <c r="A1831" t="s">
        <v>1835</v>
      </c>
      <c r="B1831">
        <v>1</v>
      </c>
      <c r="C1831">
        <v>1.11402612762755</v>
      </c>
      <c r="D1831">
        <v>1.2847696360410701</v>
      </c>
      <c r="E1831">
        <v>1.5896457179721499</v>
      </c>
      <c r="F1831">
        <v>1.27713563786893</v>
      </c>
      <c r="G1831">
        <v>1.4945433041234299</v>
      </c>
      <c r="H1831">
        <v>0.72786409332831603</v>
      </c>
      <c r="I1831">
        <v>1.2299338745228801</v>
      </c>
      <c r="J1831">
        <v>1.1063383689049</v>
      </c>
      <c r="K1831">
        <v>1.0537605505080401</v>
      </c>
      <c r="L1831">
        <v>10722.0596965244</v>
      </c>
      <c r="M1831">
        <v>250</v>
      </c>
      <c r="O1831">
        <v>42.885494237278003</v>
      </c>
      <c r="P1831">
        <v>0.32134831042802903</v>
      </c>
      <c r="Q1831">
        <v>1.22049889750993</v>
      </c>
      <c r="R1831">
        <v>8.9315525009782307E-2</v>
      </c>
      <c r="S1831" t="s">
        <v>3705</v>
      </c>
      <c r="T1831" t="s">
        <v>3746</v>
      </c>
      <c r="U1831" t="s">
        <v>3746</v>
      </c>
      <c r="V1831" t="s">
        <v>3746</v>
      </c>
      <c r="W1831" t="s">
        <v>5564</v>
      </c>
      <c r="X1831">
        <v>2</v>
      </c>
      <c r="Y1831" t="s">
        <v>7349</v>
      </c>
      <c r="Z1831" t="s">
        <v>9219</v>
      </c>
      <c r="AA1831">
        <v>1.1992538520049221</v>
      </c>
      <c r="AB1831" t="str">
        <f>HYPERLINK("Melting_Curves/meltCurve_Q9UMX5_NENF.pdf", "Melting_Curves/meltCurve_Q9UMX5_NENF.pdf")</f>
        <v>Melting_Curves/meltCurve_Q9UMX5_NENF.pdf</v>
      </c>
    </row>
    <row r="1832" spans="1:28" x14ac:dyDescent="0.25">
      <c r="A1832" t="s">
        <v>1836</v>
      </c>
      <c r="B1832">
        <v>1</v>
      </c>
      <c r="C1832">
        <v>1.0752260679762999</v>
      </c>
      <c r="D1832">
        <v>1.53180542563143</v>
      </c>
      <c r="E1832">
        <v>1.9063766760212</v>
      </c>
      <c r="F1832">
        <v>1.59783286560649</v>
      </c>
      <c r="G1832">
        <v>2.02821951980044</v>
      </c>
      <c r="H1832">
        <v>1.5920642344870599</v>
      </c>
      <c r="I1832">
        <v>2.4269566573121302</v>
      </c>
      <c r="J1832">
        <v>2.9238384783286602</v>
      </c>
      <c r="K1832">
        <v>2.48425319613346</v>
      </c>
      <c r="L1832">
        <v>10799.2624066396</v>
      </c>
      <c r="M1832">
        <v>250</v>
      </c>
      <c r="O1832">
        <v>43.194285324725897</v>
      </c>
      <c r="P1832">
        <v>0.72347533517942697</v>
      </c>
      <c r="Q1832">
        <v>1.5</v>
      </c>
      <c r="R1832">
        <v>-0.242056335434052</v>
      </c>
      <c r="S1832" t="s">
        <v>3706</v>
      </c>
      <c r="T1832" t="s">
        <v>3746</v>
      </c>
      <c r="U1832" t="s">
        <v>3746</v>
      </c>
      <c r="V1832" t="s">
        <v>3746</v>
      </c>
      <c r="W1832" t="s">
        <v>5565</v>
      </c>
      <c r="X1832">
        <v>2</v>
      </c>
      <c r="Y1832" t="s">
        <v>7350</v>
      </c>
      <c r="Z1832" t="s">
        <v>9220</v>
      </c>
      <c r="AA1832">
        <v>1.446677934477314</v>
      </c>
      <c r="AB1832" t="str">
        <f>HYPERLINK("Melting_Curves/meltCurve_Q9UMY4_2_SNX12.pdf", "Melting_Curves/meltCurve_Q9UMY4_2_SNX12.pdf")</f>
        <v>Melting_Curves/meltCurve_Q9UMY4_2_SNX12.pdf</v>
      </c>
    </row>
    <row r="1833" spans="1:28" x14ac:dyDescent="0.25">
      <c r="A1833" t="s">
        <v>1837</v>
      </c>
      <c r="B1833">
        <v>1</v>
      </c>
      <c r="C1833">
        <v>1.23258550151082</v>
      </c>
      <c r="D1833">
        <v>1.68008128994304</v>
      </c>
      <c r="E1833">
        <v>1.9822445650720599</v>
      </c>
      <c r="F1833">
        <v>1.3820627323047301</v>
      </c>
      <c r="G1833">
        <v>1.2365296681552</v>
      </c>
      <c r="H1833">
        <v>0.97638848035938697</v>
      </c>
      <c r="I1833">
        <v>1.1289007139610101</v>
      </c>
      <c r="J1833">
        <v>1.27197368772896</v>
      </c>
      <c r="K1833">
        <v>1.2902906650266099</v>
      </c>
      <c r="L1833">
        <v>1.0000000000000001E-5</v>
      </c>
      <c r="M1833">
        <v>0.55895840604825697</v>
      </c>
      <c r="Q1833">
        <v>1.5</v>
      </c>
      <c r="R1833">
        <v>-3.6544791637282998E-9</v>
      </c>
      <c r="S1833" t="s">
        <v>3707</v>
      </c>
      <c r="T1833" t="s">
        <v>3746</v>
      </c>
      <c r="U1833" t="s">
        <v>3746</v>
      </c>
      <c r="V1833" t="s">
        <v>3746</v>
      </c>
      <c r="W1833" t="s">
        <v>5566</v>
      </c>
      <c r="X1833">
        <v>3</v>
      </c>
      <c r="Y1833" t="s">
        <v>7351</v>
      </c>
      <c r="Z1833" t="s">
        <v>9221</v>
      </c>
      <c r="AA1833">
        <v>1.318105729064573</v>
      </c>
      <c r="AB1833" t="str">
        <f>HYPERLINK("Melting_Curves/meltCurve_Q9UN70_4_PCDHGC3.pdf", "Melting_Curves/meltCurve_Q9UN70_4_PCDHGC3.pdf")</f>
        <v>Melting_Curves/meltCurve_Q9UN70_4_PCDHGC3.pdf</v>
      </c>
    </row>
    <row r="1834" spans="1:28" x14ac:dyDescent="0.25">
      <c r="A1834" t="s">
        <v>1838</v>
      </c>
      <c r="B1834">
        <v>1</v>
      </c>
      <c r="C1834">
        <v>0.83363871075206097</v>
      </c>
      <c r="D1834">
        <v>1.2873740318147699</v>
      </c>
      <c r="E1834">
        <v>1.3890647122511901</v>
      </c>
      <c r="F1834">
        <v>0.812817523111518</v>
      </c>
      <c r="G1834">
        <v>0.75480969434496503</v>
      </c>
      <c r="H1834">
        <v>0.53152327808778199</v>
      </c>
      <c r="I1834">
        <v>0.77933705338552495</v>
      </c>
      <c r="J1834">
        <v>0.85166985924877203</v>
      </c>
      <c r="K1834">
        <v>0.74848005330223999</v>
      </c>
      <c r="L1834">
        <v>13204.7184458634</v>
      </c>
      <c r="M1834">
        <v>250</v>
      </c>
      <c r="O1834">
        <v>52.815477041134798</v>
      </c>
      <c r="P1834">
        <v>-0.31576454263117298</v>
      </c>
      <c r="Q1834">
        <v>0.73316383637309301</v>
      </c>
      <c r="R1834">
        <v>0.47500225219883402</v>
      </c>
      <c r="S1834" t="s">
        <v>3708</v>
      </c>
      <c r="T1834" t="s">
        <v>3746</v>
      </c>
      <c r="U1834" t="s">
        <v>3746</v>
      </c>
      <c r="V1834" t="s">
        <v>3746</v>
      </c>
      <c r="W1834" t="s">
        <v>5567</v>
      </c>
      <c r="X1834">
        <v>1</v>
      </c>
      <c r="Y1834" t="s">
        <v>7352</v>
      </c>
      <c r="Z1834" t="s">
        <v>9222</v>
      </c>
      <c r="AA1834">
        <v>0.84720654117836136</v>
      </c>
      <c r="AB1834" t="str">
        <f>HYPERLINK("Melting_Curves/meltCurve_Q9UN76_SLC6A14.pdf", "Melting_Curves/meltCurve_Q9UN76_SLC6A14.pdf")</f>
        <v>Melting_Curves/meltCurve_Q9UN76_SLC6A14.pdf</v>
      </c>
    </row>
    <row r="1835" spans="1:28" x14ac:dyDescent="0.25">
      <c r="A1835" t="s">
        <v>1839</v>
      </c>
      <c r="B1835">
        <v>1</v>
      </c>
      <c r="C1835">
        <v>1.0549277100827099</v>
      </c>
      <c r="D1835">
        <v>1.8375528758128701</v>
      </c>
      <c r="E1835">
        <v>2.76684134099375</v>
      </c>
      <c r="F1835">
        <v>2.1532925058400201</v>
      </c>
      <c r="G1835">
        <v>2.2680724793231901</v>
      </c>
      <c r="H1835">
        <v>1.7143759075699201</v>
      </c>
      <c r="I1835">
        <v>2.57812993244523</v>
      </c>
      <c r="J1835">
        <v>2.51070143317129</v>
      </c>
      <c r="K1835">
        <v>2.3929541006376698</v>
      </c>
      <c r="L1835">
        <v>10814.7552397699</v>
      </c>
      <c r="M1835">
        <v>250</v>
      </c>
      <c r="O1835">
        <v>43.256250924452402</v>
      </c>
      <c r="P1835">
        <v>0.72243891016621797</v>
      </c>
      <c r="Q1835">
        <v>1.5</v>
      </c>
      <c r="R1835">
        <v>-0.68190116874221696</v>
      </c>
      <c r="S1835" t="s">
        <v>3709</v>
      </c>
      <c r="T1835" t="s">
        <v>3746</v>
      </c>
      <c r="U1835" t="s">
        <v>3746</v>
      </c>
      <c r="V1835" t="s">
        <v>3746</v>
      </c>
      <c r="W1835" t="s">
        <v>5568</v>
      </c>
      <c r="X1835">
        <v>4</v>
      </c>
      <c r="Y1835" t="s">
        <v>7353</v>
      </c>
      <c r="Z1835" t="s">
        <v>9223</v>
      </c>
      <c r="AA1835">
        <v>1.44564502455759</v>
      </c>
      <c r="AB1835" t="str">
        <f>HYPERLINK("Melting_Curves/meltCurve_Q9UNF0_2_PACSIN2.pdf", "Melting_Curves/meltCurve_Q9UNF0_2_PACSIN2.pdf")</f>
        <v>Melting_Curves/meltCurve_Q9UNF0_2_PACSIN2.pdf</v>
      </c>
    </row>
    <row r="1836" spans="1:28" x14ac:dyDescent="0.25">
      <c r="A1836" t="s">
        <v>1840</v>
      </c>
      <c r="B1836">
        <v>1</v>
      </c>
      <c r="C1836">
        <v>1.11814580582389</v>
      </c>
      <c r="D1836">
        <v>1.9154215025366601</v>
      </c>
      <c r="E1836">
        <v>3.4444367224963499</v>
      </c>
      <c r="F1836">
        <v>2.88713600667176</v>
      </c>
      <c r="G1836">
        <v>3.8430745708527301</v>
      </c>
      <c r="H1836">
        <v>2.75050385711307</v>
      </c>
      <c r="I1836">
        <v>4.0604628535687004</v>
      </c>
      <c r="J1836">
        <v>4.3813329626798296</v>
      </c>
      <c r="K1836">
        <v>4.0651191882688202</v>
      </c>
      <c r="L1836">
        <v>10775.3266941658</v>
      </c>
      <c r="M1836">
        <v>250</v>
      </c>
      <c r="O1836">
        <v>43.098561051323102</v>
      </c>
      <c r="P1836">
        <v>0.72508242217406904</v>
      </c>
      <c r="Q1836">
        <v>1.5</v>
      </c>
      <c r="R1836">
        <v>-1.4834031174550699</v>
      </c>
      <c r="S1836" t="s">
        <v>3710</v>
      </c>
      <c r="T1836" t="s">
        <v>3746</v>
      </c>
      <c r="U1836" t="s">
        <v>3746</v>
      </c>
      <c r="V1836" t="s">
        <v>3746</v>
      </c>
      <c r="W1836" t="s">
        <v>5569</v>
      </c>
      <c r="X1836">
        <v>5</v>
      </c>
      <c r="Y1836" t="s">
        <v>7354</v>
      </c>
      <c r="Z1836" t="s">
        <v>9224</v>
      </c>
      <c r="AA1836">
        <v>1.4482737326516031</v>
      </c>
      <c r="AB1836" t="str">
        <f>HYPERLINK("Melting_Curves/meltCurve_Q9UNM6_PSMD13.pdf", "Melting_Curves/meltCurve_Q9UNM6_PSMD13.pdf")</f>
        <v>Melting_Curves/meltCurve_Q9UNM6_PSMD13.pdf</v>
      </c>
    </row>
    <row r="1837" spans="1:28" x14ac:dyDescent="0.25">
      <c r="A1837" t="s">
        <v>1841</v>
      </c>
      <c r="B1837">
        <v>1</v>
      </c>
      <c r="C1837">
        <v>0.88460411034752295</v>
      </c>
      <c r="D1837">
        <v>1.24062795166596</v>
      </c>
      <c r="E1837">
        <v>1.3832524509005599</v>
      </c>
      <c r="F1837">
        <v>0.89320261863661499</v>
      </c>
      <c r="G1837">
        <v>0.93189590593753102</v>
      </c>
      <c r="H1837">
        <v>0.61971142885060104</v>
      </c>
      <c r="I1837">
        <v>0.97124059538155905</v>
      </c>
      <c r="J1837">
        <v>0.94528221997850403</v>
      </c>
      <c r="K1837">
        <v>0.87766667752336902</v>
      </c>
      <c r="L1837">
        <v>13170.9848817644</v>
      </c>
      <c r="M1837">
        <v>250</v>
      </c>
      <c r="O1837">
        <v>52.680568224538099</v>
      </c>
      <c r="P1837">
        <v>-0.15522941261173701</v>
      </c>
      <c r="Q1837">
        <v>0.86915882186704496</v>
      </c>
      <c r="R1837">
        <v>0.23167564424376699</v>
      </c>
      <c r="S1837" t="s">
        <v>3711</v>
      </c>
      <c r="T1837" t="s">
        <v>3746</v>
      </c>
      <c r="U1837" t="s">
        <v>3746</v>
      </c>
      <c r="V1837" t="s">
        <v>3746</v>
      </c>
      <c r="W1837" t="s">
        <v>5570</v>
      </c>
      <c r="X1837">
        <v>6</v>
      </c>
      <c r="Y1837" t="s">
        <v>7355</v>
      </c>
      <c r="Z1837" t="s">
        <v>9225</v>
      </c>
      <c r="AA1837">
        <v>0.92449030574573976</v>
      </c>
      <c r="AB1837" t="str">
        <f>HYPERLINK("Melting_Curves/meltCurve_Q9UNQ0_2_ABCG2.pdf", "Melting_Curves/meltCurve_Q9UNQ0_2_ABCG2.pdf")</f>
        <v>Melting_Curves/meltCurve_Q9UNQ0_2_ABCG2.pdf</v>
      </c>
    </row>
    <row r="1838" spans="1:28" x14ac:dyDescent="0.25">
      <c r="A1838" t="s">
        <v>1842</v>
      </c>
      <c r="B1838">
        <v>1</v>
      </c>
      <c r="C1838">
        <v>1.08825258208078</v>
      </c>
      <c r="D1838">
        <v>1.37123184146444</v>
      </c>
      <c r="E1838">
        <v>1.7778570828785001</v>
      </c>
      <c r="F1838">
        <v>1.3047904945839299</v>
      </c>
      <c r="G1838">
        <v>1.5903938198001499</v>
      </c>
      <c r="H1838">
        <v>0.97064195146527799</v>
      </c>
      <c r="I1838">
        <v>1.46191955663784</v>
      </c>
      <c r="J1838">
        <v>1.4760895121336799</v>
      </c>
      <c r="K1838">
        <v>1.3500293895373201</v>
      </c>
      <c r="L1838">
        <v>2427.4940155558902</v>
      </c>
      <c r="M1838">
        <v>55.224004582903099</v>
      </c>
      <c r="O1838">
        <v>43.899705154925698</v>
      </c>
      <c r="P1838">
        <v>0.13121258409144601</v>
      </c>
      <c r="Q1838">
        <v>1.4172235867130101</v>
      </c>
      <c r="R1838">
        <v>0.36805216178127897</v>
      </c>
      <c r="S1838" t="s">
        <v>3712</v>
      </c>
      <c r="T1838" t="s">
        <v>3746</v>
      </c>
      <c r="U1838" t="s">
        <v>3746</v>
      </c>
      <c r="V1838" t="s">
        <v>3746</v>
      </c>
      <c r="W1838" t="s">
        <v>5571</v>
      </c>
      <c r="X1838">
        <v>7</v>
      </c>
      <c r="Y1838" t="s">
        <v>7356</v>
      </c>
      <c r="Z1838" t="s">
        <v>9226</v>
      </c>
      <c r="AA1838">
        <v>1.3614886053042841</v>
      </c>
      <c r="AB1838" t="str">
        <f>HYPERLINK("Melting_Curves/meltCurve_Q9UNW1_MINPP1.pdf", "Melting_Curves/meltCurve_Q9UNW1_MINPP1.pdf")</f>
        <v>Melting_Curves/meltCurve_Q9UNW1_MINPP1.pdf</v>
      </c>
    </row>
    <row r="1839" spans="1:28" x14ac:dyDescent="0.25">
      <c r="A1839" t="s">
        <v>1843</v>
      </c>
      <c r="B1839">
        <v>1</v>
      </c>
      <c r="C1839">
        <v>1.1613286997902399</v>
      </c>
      <c r="D1839">
        <v>1.6838232992079101</v>
      </c>
      <c r="E1839">
        <v>2.2840236686390498</v>
      </c>
      <c r="F1839">
        <v>1.6359224820763301</v>
      </c>
      <c r="G1839">
        <v>1.9628377320685</v>
      </c>
      <c r="H1839">
        <v>1.45067468144391</v>
      </c>
      <c r="I1839">
        <v>2.0502802041263601</v>
      </c>
      <c r="J1839">
        <v>2.13556244325475</v>
      </c>
      <c r="K1839">
        <v>2.03281049434896</v>
      </c>
      <c r="L1839">
        <v>10756.814015071801</v>
      </c>
      <c r="M1839">
        <v>250</v>
      </c>
      <c r="O1839">
        <v>43.024502668767198</v>
      </c>
      <c r="P1839">
        <v>0.72633030359981998</v>
      </c>
      <c r="Q1839">
        <v>1.5</v>
      </c>
      <c r="R1839">
        <v>-0.12617590796702499</v>
      </c>
      <c r="S1839" t="s">
        <v>3713</v>
      </c>
      <c r="T1839" t="s">
        <v>3746</v>
      </c>
      <c r="U1839" t="s">
        <v>3746</v>
      </c>
      <c r="V1839" t="s">
        <v>3746</v>
      </c>
      <c r="W1839" t="s">
        <v>5572</v>
      </c>
      <c r="X1839">
        <v>8</v>
      </c>
      <c r="Y1839" t="s">
        <v>7357</v>
      </c>
      <c r="Z1839" t="s">
        <v>9227</v>
      </c>
      <c r="AA1839">
        <v>1.4495079762312491</v>
      </c>
      <c r="AB1839" t="str">
        <f>HYPERLINK("Melting_Curves/meltCurve_Q9UQ80_PA2G4.pdf", "Melting_Curves/meltCurve_Q9UQ80_PA2G4.pdf")</f>
        <v>Melting_Curves/meltCurve_Q9UQ80_PA2G4.pdf</v>
      </c>
    </row>
    <row r="1840" spans="1:28" x14ac:dyDescent="0.25">
      <c r="A1840" t="s">
        <v>1844</v>
      </c>
      <c r="B1840">
        <v>1</v>
      </c>
      <c r="C1840">
        <v>1.5740767351631</v>
      </c>
      <c r="D1840">
        <v>2.0045983618336001</v>
      </c>
      <c r="E1840">
        <v>2.75219140681132</v>
      </c>
      <c r="F1840">
        <v>1.93634142836614</v>
      </c>
      <c r="G1840">
        <v>2.1154260669636402</v>
      </c>
      <c r="H1840">
        <v>2.9795947693634099</v>
      </c>
      <c r="I1840">
        <v>2.4682066388849</v>
      </c>
      <c r="J1840">
        <v>1.9316712171289001</v>
      </c>
      <c r="K1840">
        <v>2.2118838913637</v>
      </c>
      <c r="L1840">
        <v>10257.3760066758</v>
      </c>
      <c r="M1840">
        <v>250</v>
      </c>
      <c r="O1840">
        <v>41.026878452233603</v>
      </c>
      <c r="P1840">
        <v>0.76169577718991399</v>
      </c>
      <c r="Q1840">
        <v>1.5</v>
      </c>
      <c r="R1840">
        <v>-1.14517608218594</v>
      </c>
      <c r="S1840" t="s">
        <v>3714</v>
      </c>
      <c r="T1840" t="s">
        <v>3746</v>
      </c>
      <c r="U1840" t="s">
        <v>3746</v>
      </c>
      <c r="V1840" t="s">
        <v>3746</v>
      </c>
      <c r="W1840" t="s">
        <v>5573</v>
      </c>
      <c r="X1840">
        <v>2</v>
      </c>
      <c r="Y1840" t="s">
        <v>7358</v>
      </c>
      <c r="Z1840" t="s">
        <v>9228</v>
      </c>
      <c r="AA1840">
        <v>1.4828014584211979</v>
      </c>
      <c r="AB1840" t="str">
        <f>HYPERLINK("Melting_Curves/meltCurve_Q9Y266_NUDC.pdf", "Melting_Curves/meltCurve_Q9Y266_NUDC.pdf")</f>
        <v>Melting_Curves/meltCurve_Q9Y266_NUDC.pdf</v>
      </c>
    </row>
    <row r="1841" spans="1:28" x14ac:dyDescent="0.25">
      <c r="A1841" t="s">
        <v>1845</v>
      </c>
      <c r="B1841">
        <v>1</v>
      </c>
      <c r="C1841">
        <v>0.929063536616484</v>
      </c>
      <c r="D1841">
        <v>1.25159479459046</v>
      </c>
      <c r="E1841">
        <v>1.35123756060219</v>
      </c>
      <c r="F1841">
        <v>1.15558816024496</v>
      </c>
      <c r="G1841">
        <v>1.41560347027303</v>
      </c>
      <c r="H1841">
        <v>1.4596198009696399</v>
      </c>
      <c r="I1841">
        <v>1.1424470528196</v>
      </c>
      <c r="J1841">
        <v>0.98386067874457805</v>
      </c>
      <c r="K1841">
        <v>0.89946414901760696</v>
      </c>
      <c r="L1841">
        <v>11111.091455048199</v>
      </c>
      <c r="M1841">
        <v>250</v>
      </c>
      <c r="O1841">
        <v>44.4415216468228</v>
      </c>
      <c r="P1841">
        <v>0.29171673662231701</v>
      </c>
      <c r="Q1841">
        <v>1.20742937053652</v>
      </c>
      <c r="R1841">
        <v>0.24291216608608801</v>
      </c>
      <c r="S1841" t="s">
        <v>3715</v>
      </c>
      <c r="T1841" t="s">
        <v>3746</v>
      </c>
      <c r="U1841" t="s">
        <v>3746</v>
      </c>
      <c r="V1841" t="s">
        <v>3746</v>
      </c>
      <c r="W1841" t="s">
        <v>5574</v>
      </c>
      <c r="X1841">
        <v>4</v>
      </c>
      <c r="Y1841" t="s">
        <v>7359</v>
      </c>
      <c r="Z1841" t="s">
        <v>9229</v>
      </c>
      <c r="AA1841">
        <v>1.176683457733833</v>
      </c>
      <c r="AB1841" t="str">
        <f>HYPERLINK("Melting_Curves/meltCurve_Q9Y2A9_B3GNT3.pdf", "Melting_Curves/meltCurve_Q9Y2A9_B3GNT3.pdf")</f>
        <v>Melting_Curves/meltCurve_Q9Y2A9_B3GNT3.pdf</v>
      </c>
    </row>
    <row r="1842" spans="1:28" x14ac:dyDescent="0.25">
      <c r="A1842" t="s">
        <v>1846</v>
      </c>
      <c r="B1842">
        <v>1</v>
      </c>
      <c r="C1842">
        <v>1.18039284257155</v>
      </c>
      <c r="D1842">
        <v>1.38800489596083</v>
      </c>
      <c r="E1842">
        <v>1.64131258378504</v>
      </c>
      <c r="F1842">
        <v>1.15264906452177</v>
      </c>
      <c r="G1842">
        <v>1.25820364865653</v>
      </c>
      <c r="H1842">
        <v>0.74634260068776603</v>
      </c>
      <c r="I1842">
        <v>1.0811913504691999</v>
      </c>
      <c r="J1842">
        <v>1.05024188377922</v>
      </c>
      <c r="K1842">
        <v>1.0357871422742899</v>
      </c>
      <c r="L1842">
        <v>10270.1012414751</v>
      </c>
      <c r="M1842">
        <v>250</v>
      </c>
      <c r="O1842">
        <v>41.077776063645203</v>
      </c>
      <c r="P1842">
        <v>0.25935383927495997</v>
      </c>
      <c r="Q1842">
        <v>1.1704588628155199</v>
      </c>
      <c r="R1842">
        <v>4.9931272885324E-2</v>
      </c>
      <c r="S1842" t="s">
        <v>3716</v>
      </c>
      <c r="T1842" t="s">
        <v>3746</v>
      </c>
      <c r="U1842" t="s">
        <v>3746</v>
      </c>
      <c r="V1842" t="s">
        <v>3746</v>
      </c>
      <c r="W1842" t="s">
        <v>5575</v>
      </c>
      <c r="X1842">
        <v>5</v>
      </c>
      <c r="Y1842" t="s">
        <v>7360</v>
      </c>
      <c r="Z1842" t="s">
        <v>9230</v>
      </c>
      <c r="AA1842">
        <v>1.164306728154894</v>
      </c>
      <c r="AB1842" t="str">
        <f>HYPERLINK("Melting_Curves/meltCurve_Q9Y2B0_CNPY2.pdf", "Melting_Curves/meltCurve_Q9Y2B0_CNPY2.pdf")</f>
        <v>Melting_Curves/meltCurve_Q9Y2B0_CNPY2.pdf</v>
      </c>
    </row>
    <row r="1843" spans="1:28" x14ac:dyDescent="0.25">
      <c r="A1843" t="s">
        <v>1847</v>
      </c>
      <c r="B1843">
        <v>1</v>
      </c>
      <c r="C1843">
        <v>1.0758617963314401</v>
      </c>
      <c r="D1843">
        <v>1.5752688172042999</v>
      </c>
      <c r="E1843">
        <v>2.2249762808349098</v>
      </c>
      <c r="F1843">
        <v>1.78340449082859</v>
      </c>
      <c r="G1843">
        <v>2.4084044908285902</v>
      </c>
      <c r="H1843">
        <v>1.4397137887413001</v>
      </c>
      <c r="I1843">
        <v>2.8211179633143599</v>
      </c>
      <c r="J1843">
        <v>2.7014547754585698</v>
      </c>
      <c r="K1843">
        <v>2.5810009487665999</v>
      </c>
      <c r="S1843" t="s">
        <v>3717</v>
      </c>
      <c r="T1843" t="s">
        <v>3746</v>
      </c>
      <c r="U1843" t="s">
        <v>3747</v>
      </c>
      <c r="V1843" t="s">
        <v>3746</v>
      </c>
      <c r="W1843" t="s">
        <v>5576</v>
      </c>
      <c r="X1843">
        <v>3</v>
      </c>
      <c r="Y1843" t="s">
        <v>7361</v>
      </c>
      <c r="Z1843" t="s">
        <v>9231</v>
      </c>
      <c r="AB1843" t="str">
        <f>HYPERLINK("Melting_Curves/meltCurve_Q9Y2S2_2_CRYL1.pdf", "Melting_Curves/meltCurve_Q9Y2S2_2_CRYL1.pdf")</f>
        <v>Melting_Curves/meltCurve_Q9Y2S2_2_CRYL1.pdf</v>
      </c>
    </row>
    <row r="1844" spans="1:28" x14ac:dyDescent="0.25">
      <c r="A1844" t="s">
        <v>1848</v>
      </c>
      <c r="B1844">
        <v>1</v>
      </c>
      <c r="C1844">
        <v>0.97699279132688799</v>
      </c>
      <c r="D1844">
        <v>1.13832705806671</v>
      </c>
      <c r="E1844">
        <v>1.2788110419465299</v>
      </c>
      <c r="F1844">
        <v>1.04187084933684</v>
      </c>
      <c r="G1844">
        <v>1.3504626038257099</v>
      </c>
      <c r="H1844">
        <v>0.79526233137191804</v>
      </c>
      <c r="I1844">
        <v>1.41721378162072</v>
      </c>
      <c r="J1844">
        <v>1.12459084630958</v>
      </c>
      <c r="K1844">
        <v>1.06209675893516</v>
      </c>
      <c r="L1844">
        <v>11396.482977661601</v>
      </c>
      <c r="M1844">
        <v>250</v>
      </c>
      <c r="O1844">
        <v>45.583004302589501</v>
      </c>
      <c r="P1844">
        <v>0.20964659159853199</v>
      </c>
      <c r="Q1844">
        <v>1.15290117865672</v>
      </c>
      <c r="R1844">
        <v>0.13326551599921299</v>
      </c>
      <c r="S1844" t="s">
        <v>3718</v>
      </c>
      <c r="T1844" t="s">
        <v>3746</v>
      </c>
      <c r="U1844" t="s">
        <v>3746</v>
      </c>
      <c r="V1844" t="s">
        <v>3746</v>
      </c>
      <c r="W1844" t="s">
        <v>5577</v>
      </c>
      <c r="X1844">
        <v>3</v>
      </c>
      <c r="Y1844" t="s">
        <v>7362</v>
      </c>
      <c r="Z1844" t="s">
        <v>9232</v>
      </c>
      <c r="AA1844">
        <v>1.1244190937302601</v>
      </c>
      <c r="AB1844" t="str">
        <f>HYPERLINK("Melting_Curves/meltCurve_Q9Y2V2_CARHSP1.pdf", "Melting_Curves/meltCurve_Q9Y2V2_CARHSP1.pdf")</f>
        <v>Melting_Curves/meltCurve_Q9Y2V2_CARHSP1.pdf</v>
      </c>
    </row>
    <row r="1845" spans="1:28" x14ac:dyDescent="0.25">
      <c r="A1845" t="s">
        <v>1849</v>
      </c>
      <c r="B1845">
        <v>1</v>
      </c>
      <c r="C1845">
        <v>0.99563661476644905</v>
      </c>
      <c r="D1845">
        <v>1.3644996233048701</v>
      </c>
      <c r="E1845">
        <v>1.7475514816675</v>
      </c>
      <c r="F1845">
        <v>1.1946729030637899</v>
      </c>
      <c r="G1845">
        <v>1.4934706177800099</v>
      </c>
      <c r="H1845">
        <v>0.809863134103466</v>
      </c>
      <c r="I1845">
        <v>1.3502793822199901</v>
      </c>
      <c r="J1845">
        <v>1.4207056755399301</v>
      </c>
      <c r="K1845">
        <v>1.3013247112004001</v>
      </c>
      <c r="L1845">
        <v>11059.5706334032</v>
      </c>
      <c r="M1845">
        <v>250</v>
      </c>
      <c r="O1845">
        <v>44.235452408941299</v>
      </c>
      <c r="P1845">
        <v>0.473741021798123</v>
      </c>
      <c r="Q1845">
        <v>1.3352983680851001</v>
      </c>
      <c r="R1845">
        <v>0.26694467618407602</v>
      </c>
      <c r="S1845" t="s">
        <v>3719</v>
      </c>
      <c r="T1845" t="s">
        <v>3746</v>
      </c>
      <c r="U1845" t="s">
        <v>3746</v>
      </c>
      <c r="V1845" t="s">
        <v>3746</v>
      </c>
      <c r="W1845" t="s">
        <v>5578</v>
      </c>
      <c r="X1845">
        <v>2</v>
      </c>
      <c r="Y1845" t="s">
        <v>7363</v>
      </c>
      <c r="Z1845" t="s">
        <v>9233</v>
      </c>
      <c r="AA1845">
        <v>1.2879026957921329</v>
      </c>
      <c r="AB1845" t="str">
        <f>HYPERLINK("Melting_Curves/meltCurve_Q9Y2Z0_2_SUGT1.pdf", "Melting_Curves/meltCurve_Q9Y2Z0_2_SUGT1.pdf")</f>
        <v>Melting_Curves/meltCurve_Q9Y2Z0_2_SUGT1.pdf</v>
      </c>
    </row>
    <row r="1846" spans="1:28" x14ac:dyDescent="0.25">
      <c r="A1846" t="s">
        <v>1850</v>
      </c>
      <c r="B1846">
        <v>1</v>
      </c>
      <c r="C1846">
        <v>0.96702413697190703</v>
      </c>
      <c r="D1846">
        <v>1.3032419569181299</v>
      </c>
      <c r="E1846">
        <v>1.85950489847637</v>
      </c>
      <c r="F1846">
        <v>1.6179188429088001</v>
      </c>
      <c r="G1846">
        <v>1.9639336156009499</v>
      </c>
      <c r="H1846">
        <v>0.94644126464134504</v>
      </c>
      <c r="I1846">
        <v>1.8375621967425899</v>
      </c>
      <c r="J1846">
        <v>1.8343171493030901</v>
      </c>
      <c r="K1846">
        <v>1.7440430200574799</v>
      </c>
      <c r="L1846">
        <v>11480.102412709701</v>
      </c>
      <c r="M1846">
        <v>250</v>
      </c>
      <c r="O1846">
        <v>45.917471676556701</v>
      </c>
      <c r="P1846">
        <v>0.68056884062830303</v>
      </c>
      <c r="Q1846">
        <v>1.5</v>
      </c>
      <c r="R1846">
        <v>0.37518049949860699</v>
      </c>
      <c r="S1846" t="s">
        <v>3720</v>
      </c>
      <c r="T1846" t="s">
        <v>3746</v>
      </c>
      <c r="U1846" t="s">
        <v>3746</v>
      </c>
      <c r="V1846" t="s">
        <v>3746</v>
      </c>
      <c r="W1846" t="s">
        <v>5579</v>
      </c>
      <c r="X1846">
        <v>4</v>
      </c>
      <c r="Y1846" t="s">
        <v>7364</v>
      </c>
      <c r="Z1846" t="s">
        <v>9234</v>
      </c>
      <c r="AA1846">
        <v>1.401286211017216</v>
      </c>
      <c r="AB1846" t="str">
        <f>HYPERLINK("Melting_Curves/meltCurve_Q9Y376_CAB39.pdf", "Melting_Curves/meltCurve_Q9Y376_CAB39.pdf")</f>
        <v>Melting_Curves/meltCurve_Q9Y376_CAB39.pdf</v>
      </c>
    </row>
    <row r="1847" spans="1:28" x14ac:dyDescent="0.25">
      <c r="A1847" t="s">
        <v>1851</v>
      </c>
      <c r="B1847">
        <v>1</v>
      </c>
      <c r="C1847">
        <v>1.17694209304068</v>
      </c>
      <c r="D1847">
        <v>1.7229005918046301</v>
      </c>
      <c r="E1847">
        <v>2.38145179414188</v>
      </c>
      <c r="F1847">
        <v>1.22623417484456</v>
      </c>
      <c r="G1847">
        <v>1.70544610083152</v>
      </c>
      <c r="H1847">
        <v>1.26541313956102</v>
      </c>
      <c r="I1847">
        <v>1.8515993707393801</v>
      </c>
      <c r="J1847">
        <v>1.89220166304592</v>
      </c>
      <c r="K1847">
        <v>1.79564012285564</v>
      </c>
      <c r="L1847">
        <v>10750.8261600266</v>
      </c>
      <c r="M1847">
        <v>250</v>
      </c>
      <c r="O1847">
        <v>43.000572772301297</v>
      </c>
      <c r="P1847">
        <v>0.726734843117394</v>
      </c>
      <c r="Q1847">
        <v>1.5</v>
      </c>
      <c r="R1847">
        <v>0.15532818227777501</v>
      </c>
      <c r="S1847" t="s">
        <v>3721</v>
      </c>
      <c r="T1847" t="s">
        <v>3746</v>
      </c>
      <c r="U1847" t="s">
        <v>3746</v>
      </c>
      <c r="V1847" t="s">
        <v>3746</v>
      </c>
      <c r="W1847" t="s">
        <v>5580</v>
      </c>
      <c r="X1847">
        <v>6</v>
      </c>
      <c r="Y1847" t="s">
        <v>7365</v>
      </c>
      <c r="Z1847" t="s">
        <v>9235</v>
      </c>
      <c r="AA1847">
        <v>1.4499071875823599</v>
      </c>
      <c r="AB1847" t="str">
        <f>HYPERLINK("Melting_Curves/meltCurve_Q9Y3A5_SBDS.pdf", "Melting_Curves/meltCurve_Q9Y3A5_SBDS.pdf")</f>
        <v>Melting_Curves/meltCurve_Q9Y3A5_SBDS.pdf</v>
      </c>
    </row>
    <row r="1848" spans="1:28" x14ac:dyDescent="0.25">
      <c r="A1848" t="s">
        <v>1852</v>
      </c>
      <c r="B1848">
        <v>1</v>
      </c>
      <c r="C1848">
        <v>0.89125935711140503</v>
      </c>
      <c r="D1848">
        <v>1.1727212681638</v>
      </c>
      <c r="E1848">
        <v>1.39167767503303</v>
      </c>
      <c r="F1848">
        <v>0.879062087186262</v>
      </c>
      <c r="G1848">
        <v>1.0444517833553499</v>
      </c>
      <c r="H1848">
        <v>0.57404227212681602</v>
      </c>
      <c r="I1848">
        <v>1.03757155438133</v>
      </c>
      <c r="J1848">
        <v>0.87475781594011404</v>
      </c>
      <c r="K1848">
        <v>0.81036988110964303</v>
      </c>
      <c r="L1848">
        <v>4838.5710172628396</v>
      </c>
      <c r="M1848">
        <v>82.870242898084001</v>
      </c>
      <c r="O1848">
        <v>58.353340724687001</v>
      </c>
      <c r="P1848">
        <v>-6.0939582701976198E-2</v>
      </c>
      <c r="Q1848">
        <v>0.82835682914279796</v>
      </c>
      <c r="R1848">
        <v>0.24897473910735499</v>
      </c>
      <c r="S1848" t="s">
        <v>3722</v>
      </c>
      <c r="T1848" t="s">
        <v>3746</v>
      </c>
      <c r="U1848" t="s">
        <v>3746</v>
      </c>
      <c r="V1848" t="s">
        <v>3746</v>
      </c>
      <c r="W1848" t="s">
        <v>5581</v>
      </c>
      <c r="X1848">
        <v>1</v>
      </c>
      <c r="Y1848" t="s">
        <v>7366</v>
      </c>
      <c r="Z1848" t="s">
        <v>9236</v>
      </c>
      <c r="AA1848">
        <v>0.9337190820643837</v>
      </c>
      <c r="AB1848" t="str">
        <f>HYPERLINK("Melting_Curves/meltCurve_Q9Y3B3_2_TMED7.pdf", "Melting_Curves/meltCurve_Q9Y3B3_2_TMED7.pdf")</f>
        <v>Melting_Curves/meltCurve_Q9Y3B3_2_TMED7.pdf</v>
      </c>
    </row>
    <row r="1849" spans="1:28" x14ac:dyDescent="0.25">
      <c r="A1849" t="s">
        <v>1853</v>
      </c>
      <c r="B1849">
        <v>1</v>
      </c>
      <c r="C1849">
        <v>1.0642613924509201</v>
      </c>
      <c r="D1849">
        <v>1.66615953053684</v>
      </c>
      <c r="E1849">
        <v>2.6084909077736702</v>
      </c>
      <c r="F1849">
        <v>2.64783018184453</v>
      </c>
      <c r="G1849">
        <v>2.9200898355430001</v>
      </c>
      <c r="H1849">
        <v>1.48576396435557</v>
      </c>
      <c r="I1849">
        <v>2.57480257914946</v>
      </c>
      <c r="J1849">
        <v>2.4900383974498301</v>
      </c>
      <c r="K1849">
        <v>2.2484242555966101</v>
      </c>
      <c r="S1849" t="s">
        <v>3723</v>
      </c>
      <c r="T1849" t="s">
        <v>3746</v>
      </c>
      <c r="U1849" t="s">
        <v>3747</v>
      </c>
      <c r="V1849" t="s">
        <v>3746</v>
      </c>
      <c r="W1849" t="s">
        <v>5582</v>
      </c>
      <c r="X1849">
        <v>3</v>
      </c>
      <c r="Y1849" t="s">
        <v>7367</v>
      </c>
      <c r="Z1849" t="s">
        <v>9237</v>
      </c>
      <c r="AB1849" t="str">
        <f>HYPERLINK("Melting_Curves/meltCurve_Q9Y3C8_UFC1.pdf", "Melting_Curves/meltCurve_Q9Y3C8_UFC1.pdf")</f>
        <v>Melting_Curves/meltCurve_Q9Y3C8_UFC1.pdf</v>
      </c>
    </row>
    <row r="1850" spans="1:28" x14ac:dyDescent="0.25">
      <c r="A1850" t="s">
        <v>1854</v>
      </c>
      <c r="B1850">
        <v>1</v>
      </c>
      <c r="C1850">
        <v>0.95599758890898101</v>
      </c>
      <c r="D1850">
        <v>1.56918970119693</v>
      </c>
      <c r="E1850">
        <v>1.96779471282184</v>
      </c>
      <c r="F1850">
        <v>1.34504434685267</v>
      </c>
      <c r="G1850">
        <v>1.38060793937828</v>
      </c>
      <c r="H1850">
        <v>0.94798932231120303</v>
      </c>
      <c r="I1850">
        <v>1.4049771807457201</v>
      </c>
      <c r="J1850">
        <v>1.46525445621286</v>
      </c>
      <c r="K1850">
        <v>1.4391630069749399</v>
      </c>
      <c r="L1850">
        <v>11076.654193692601</v>
      </c>
      <c r="M1850">
        <v>250</v>
      </c>
      <c r="O1850">
        <v>44.303756474129401</v>
      </c>
      <c r="P1850">
        <v>0.62072267561754602</v>
      </c>
      <c r="Q1850">
        <v>1.44000578980812</v>
      </c>
      <c r="R1850">
        <v>0.38080549332360603</v>
      </c>
      <c r="S1850" t="s">
        <v>3724</v>
      </c>
      <c r="T1850" t="s">
        <v>3746</v>
      </c>
      <c r="U1850" t="s">
        <v>3746</v>
      </c>
      <c r="V1850" t="s">
        <v>3746</v>
      </c>
      <c r="W1850" t="s">
        <v>5583</v>
      </c>
      <c r="X1850">
        <v>1</v>
      </c>
      <c r="Y1850" t="s">
        <v>7368</v>
      </c>
      <c r="Z1850" t="s">
        <v>9238</v>
      </c>
      <c r="AA1850">
        <v>1.3768070322457251</v>
      </c>
      <c r="AB1850" t="str">
        <f>HYPERLINK("Melting_Curves/meltCurve_Q9Y3D6_FIS1.pdf", "Melting_Curves/meltCurve_Q9Y3D6_FIS1.pdf")</f>
        <v>Melting_Curves/meltCurve_Q9Y3D6_FIS1.pdf</v>
      </c>
    </row>
    <row r="1851" spans="1:28" x14ac:dyDescent="0.25">
      <c r="A1851" t="s">
        <v>1855</v>
      </c>
      <c r="B1851">
        <v>1</v>
      </c>
      <c r="C1851">
        <v>0.99968183264397104</v>
      </c>
      <c r="D1851">
        <v>1.53208811364189</v>
      </c>
      <c r="E1851">
        <v>2.3364713368643701</v>
      </c>
      <c r="F1851">
        <v>1.5319383878272901</v>
      </c>
      <c r="G1851">
        <v>2.1382717897849601</v>
      </c>
      <c r="H1851">
        <v>1.7419475585334401</v>
      </c>
      <c r="I1851">
        <v>2.4427766652317899</v>
      </c>
      <c r="J1851">
        <v>2.6480881885048002</v>
      </c>
      <c r="K1851">
        <v>2.3147610937470802</v>
      </c>
      <c r="L1851">
        <v>11019.522322331801</v>
      </c>
      <c r="M1851">
        <v>250</v>
      </c>
      <c r="O1851">
        <v>44.075269275127802</v>
      </c>
      <c r="P1851">
        <v>0.70901439833479096</v>
      </c>
      <c r="Q1851">
        <v>1.5</v>
      </c>
      <c r="R1851">
        <v>-0.269918701989383</v>
      </c>
      <c r="S1851" t="s">
        <v>3725</v>
      </c>
      <c r="T1851" t="s">
        <v>3746</v>
      </c>
      <c r="U1851" t="s">
        <v>3746</v>
      </c>
      <c r="V1851" t="s">
        <v>3746</v>
      </c>
      <c r="W1851" t="s">
        <v>5584</v>
      </c>
      <c r="X1851">
        <v>1</v>
      </c>
      <c r="Y1851" t="s">
        <v>7369</v>
      </c>
      <c r="Z1851" t="s">
        <v>9239</v>
      </c>
      <c r="AA1851">
        <v>1.4319931669975019</v>
      </c>
      <c r="AB1851" t="str">
        <f>HYPERLINK("Melting_Curves/meltCurve_Q9Y3E7_4_CHMP3.pdf", "Melting_Curves/meltCurve_Q9Y3E7_4_CHMP3.pdf")</f>
        <v>Melting_Curves/meltCurve_Q9Y3E7_4_CHMP3.pdf</v>
      </c>
    </row>
    <row r="1852" spans="1:28" x14ac:dyDescent="0.25">
      <c r="A1852" t="s">
        <v>1856</v>
      </c>
      <c r="B1852">
        <v>1</v>
      </c>
      <c r="C1852">
        <v>1.04220273703188</v>
      </c>
      <c r="D1852">
        <v>1.9212488732278901</v>
      </c>
      <c r="E1852">
        <v>2.4645578955994401</v>
      </c>
      <c r="F1852">
        <v>2.0269605834630799</v>
      </c>
      <c r="G1852">
        <v>2.12537900516267</v>
      </c>
      <c r="H1852">
        <v>1.6306645906744199</v>
      </c>
      <c r="I1852">
        <v>1.9624682455133999</v>
      </c>
      <c r="J1852">
        <v>1.9385397033516301</v>
      </c>
      <c r="K1852">
        <v>1.7174465295419199</v>
      </c>
      <c r="L1852">
        <v>10827.268570881801</v>
      </c>
      <c r="M1852">
        <v>250</v>
      </c>
      <c r="O1852">
        <v>43.306322466520697</v>
      </c>
      <c r="P1852">
        <v>0.721603968073944</v>
      </c>
      <c r="Q1852">
        <v>1.5</v>
      </c>
      <c r="R1852">
        <v>-0.17890047869439299</v>
      </c>
      <c r="S1852" t="s">
        <v>3726</v>
      </c>
      <c r="T1852" t="s">
        <v>3746</v>
      </c>
      <c r="U1852" t="s">
        <v>3746</v>
      </c>
      <c r="V1852" t="s">
        <v>3746</v>
      </c>
      <c r="W1852" t="s">
        <v>5585</v>
      </c>
      <c r="X1852">
        <v>3</v>
      </c>
      <c r="Y1852" t="s">
        <v>7370</v>
      </c>
      <c r="Z1852" t="s">
        <v>9240</v>
      </c>
      <c r="AA1852">
        <v>1.444810758563003</v>
      </c>
      <c r="AB1852" t="str">
        <f>HYPERLINK("Melting_Curves/meltCurve_Q9Y5E5_PCDHB4.pdf", "Melting_Curves/meltCurve_Q9Y5E5_PCDHB4.pdf")</f>
        <v>Melting_Curves/meltCurve_Q9Y5E5_PCDHB4.pdf</v>
      </c>
    </row>
    <row r="1853" spans="1:28" x14ac:dyDescent="0.25">
      <c r="A1853" t="s">
        <v>1857</v>
      </c>
      <c r="B1853">
        <v>1</v>
      </c>
      <c r="C1853">
        <v>1.0044188489260699</v>
      </c>
      <c r="D1853">
        <v>1.4108805099786299</v>
      </c>
      <c r="E1853">
        <v>1.78597558767069</v>
      </c>
      <c r="F1853">
        <v>1.64743380781629</v>
      </c>
      <c r="G1853">
        <v>1.9185772755260999</v>
      </c>
      <c r="H1853">
        <v>1.65858959035097</v>
      </c>
      <c r="I1853">
        <v>2.9634901662501401</v>
      </c>
      <c r="J1853">
        <v>3.2312651671556401</v>
      </c>
      <c r="K1853">
        <v>3.0097794197544299</v>
      </c>
      <c r="L1853">
        <v>7136.2172129343298</v>
      </c>
      <c r="M1853">
        <v>156.66351502984099</v>
      </c>
      <c r="O1853">
        <v>45.543817247032599</v>
      </c>
      <c r="P1853">
        <v>0.42998019804796</v>
      </c>
      <c r="Q1853">
        <v>1.5</v>
      </c>
      <c r="R1853">
        <v>-0.26974396289271901</v>
      </c>
      <c r="S1853" t="s">
        <v>3727</v>
      </c>
      <c r="T1853" t="s">
        <v>3746</v>
      </c>
      <c r="U1853" t="s">
        <v>3746</v>
      </c>
      <c r="V1853" t="s">
        <v>3746</v>
      </c>
      <c r="W1853" t="s">
        <v>5586</v>
      </c>
      <c r="X1853">
        <v>6</v>
      </c>
      <c r="Y1853" t="s">
        <v>7371</v>
      </c>
      <c r="Z1853" t="s">
        <v>9241</v>
      </c>
      <c r="AA1853">
        <v>1.4073775295079249</v>
      </c>
      <c r="AB1853" t="str">
        <f>HYPERLINK("Melting_Curves/meltCurve_Q9Y5P6_GMPPB.pdf", "Melting_Curves/meltCurve_Q9Y5P6_GMPPB.pdf")</f>
        <v>Melting_Curves/meltCurve_Q9Y5P6_GMPPB.pdf</v>
      </c>
    </row>
    <row r="1854" spans="1:28" x14ac:dyDescent="0.25">
      <c r="A1854" t="s">
        <v>1858</v>
      </c>
      <c r="B1854">
        <v>1</v>
      </c>
      <c r="C1854">
        <v>0.90398104038493798</v>
      </c>
      <c r="D1854">
        <v>1.71799966485529</v>
      </c>
      <c r="E1854">
        <v>1.97326023986786</v>
      </c>
      <c r="F1854">
        <v>1.48406865678788</v>
      </c>
      <c r="G1854">
        <v>2.0112752256242099</v>
      </c>
      <c r="H1854">
        <v>1.3646135063318401</v>
      </c>
      <c r="I1854">
        <v>2.2183228401120298</v>
      </c>
      <c r="J1854">
        <v>2.2742441289828399</v>
      </c>
      <c r="K1854">
        <v>1.99348861704929</v>
      </c>
      <c r="L1854">
        <v>11082.3126760164</v>
      </c>
      <c r="M1854">
        <v>250</v>
      </c>
      <c r="O1854">
        <v>44.326423020815703</v>
      </c>
      <c r="P1854">
        <v>0.70499725216311204</v>
      </c>
      <c r="Q1854">
        <v>1.5</v>
      </c>
      <c r="R1854">
        <v>0.102449598134179</v>
      </c>
      <c r="S1854" t="s">
        <v>3728</v>
      </c>
      <c r="T1854" t="s">
        <v>3746</v>
      </c>
      <c r="U1854" t="s">
        <v>3746</v>
      </c>
      <c r="V1854" t="s">
        <v>3746</v>
      </c>
      <c r="W1854" t="s">
        <v>5587</v>
      </c>
      <c r="X1854">
        <v>2</v>
      </c>
      <c r="Y1854" t="s">
        <v>7372</v>
      </c>
      <c r="Z1854" t="s">
        <v>9242</v>
      </c>
      <c r="AA1854">
        <v>1.427806923026367</v>
      </c>
      <c r="AB1854" t="str">
        <f>HYPERLINK("Melting_Curves/meltCurve_Q9Y5X3_SNX5.pdf", "Melting_Curves/meltCurve_Q9Y5X3_SNX5.pdf")</f>
        <v>Melting_Curves/meltCurve_Q9Y5X3_SNX5.pdf</v>
      </c>
    </row>
    <row r="1855" spans="1:28" x14ac:dyDescent="0.25">
      <c r="A1855" t="s">
        <v>1859</v>
      </c>
      <c r="B1855">
        <v>1</v>
      </c>
      <c r="C1855">
        <v>0.85922005571030602</v>
      </c>
      <c r="D1855">
        <v>1.1841225626740901</v>
      </c>
      <c r="E1855">
        <v>1.49535747446611</v>
      </c>
      <c r="F1855">
        <v>0.95951717734447495</v>
      </c>
      <c r="G1855">
        <v>1.3089136490250699</v>
      </c>
      <c r="H1855">
        <v>0.698189415041783</v>
      </c>
      <c r="I1855">
        <v>1.36295264623955</v>
      </c>
      <c r="J1855">
        <v>1.2180129990714901</v>
      </c>
      <c r="K1855">
        <v>1.04373259052925</v>
      </c>
      <c r="L1855">
        <v>11138.5303804751</v>
      </c>
      <c r="M1855">
        <v>250</v>
      </c>
      <c r="O1855">
        <v>44.551270473535503</v>
      </c>
      <c r="P1855">
        <v>0.222854362796017</v>
      </c>
      <c r="Q1855">
        <v>1.15885511927645</v>
      </c>
      <c r="R1855">
        <v>0.13715682217970601</v>
      </c>
      <c r="S1855" t="s">
        <v>3729</v>
      </c>
      <c r="T1855" t="s">
        <v>3746</v>
      </c>
      <c r="U1855" t="s">
        <v>3746</v>
      </c>
      <c r="V1855" t="s">
        <v>3746</v>
      </c>
      <c r="W1855" t="s">
        <v>5588</v>
      </c>
      <c r="X1855">
        <v>2</v>
      </c>
      <c r="Y1855" t="s">
        <v>7373</v>
      </c>
      <c r="Z1855" t="s">
        <v>9243</v>
      </c>
      <c r="AA1855">
        <v>1.1347278475249809</v>
      </c>
      <c r="AB1855" t="str">
        <f>HYPERLINK("Melting_Curves/meltCurve_Q9Y5X9_LIPG.pdf", "Melting_Curves/meltCurve_Q9Y5X9_LIPG.pdf")</f>
        <v>Melting_Curves/meltCurve_Q9Y5X9_LIPG.pdf</v>
      </c>
    </row>
    <row r="1856" spans="1:28" x14ac:dyDescent="0.25">
      <c r="A1856" t="s">
        <v>1860</v>
      </c>
      <c r="B1856">
        <v>1</v>
      </c>
      <c r="C1856">
        <v>1.0368102854518999</v>
      </c>
      <c r="D1856">
        <v>1.3907553378740301</v>
      </c>
      <c r="E1856">
        <v>1.7485268232953199</v>
      </c>
      <c r="F1856">
        <v>1.3227213591489999</v>
      </c>
      <c r="G1856">
        <v>1.3263947348281899</v>
      </c>
      <c r="H1856">
        <v>0.95171041555062397</v>
      </c>
      <c r="I1856">
        <v>1.3996326624320801</v>
      </c>
      <c r="J1856">
        <v>1.49376291421137</v>
      </c>
      <c r="K1856">
        <v>1.3354251167062099</v>
      </c>
      <c r="L1856">
        <v>10819.6492750861</v>
      </c>
      <c r="M1856">
        <v>250</v>
      </c>
      <c r="O1856">
        <v>43.275832883432102</v>
      </c>
      <c r="P1856">
        <v>0.53597499951448901</v>
      </c>
      <c r="Q1856">
        <v>1.3711161861158401</v>
      </c>
      <c r="R1856">
        <v>0.369915233634942</v>
      </c>
      <c r="S1856" t="s">
        <v>3730</v>
      </c>
      <c r="T1856" t="s">
        <v>3746</v>
      </c>
      <c r="U1856" t="s">
        <v>3746</v>
      </c>
      <c r="V1856" t="s">
        <v>3746</v>
      </c>
      <c r="W1856" t="s">
        <v>5589</v>
      </c>
      <c r="X1856">
        <v>13</v>
      </c>
      <c r="Y1856" t="s">
        <v>7374</v>
      </c>
      <c r="Z1856" t="s">
        <v>9244</v>
      </c>
      <c r="AA1856">
        <v>1.330529983571421</v>
      </c>
      <c r="AB1856" t="str">
        <f>HYPERLINK("Melting_Curves/meltCurve_Q9Y5Y6_ST14.pdf", "Melting_Curves/meltCurve_Q9Y5Y6_ST14.pdf")</f>
        <v>Melting_Curves/meltCurve_Q9Y5Y6_ST14.pdf</v>
      </c>
    </row>
    <row r="1857" spans="1:28" x14ac:dyDescent="0.25">
      <c r="A1857" t="s">
        <v>1861</v>
      </c>
      <c r="B1857">
        <v>1</v>
      </c>
      <c r="C1857">
        <v>1.12892452405374</v>
      </c>
      <c r="D1857">
        <v>1.66112125684837</v>
      </c>
      <c r="E1857">
        <v>2.3560903609936701</v>
      </c>
      <c r="F1857">
        <v>1.5940760013008799</v>
      </c>
      <c r="G1857">
        <v>1.8765166487378999</v>
      </c>
      <c r="H1857">
        <v>0.88425937507817798</v>
      </c>
      <c r="I1857">
        <v>1.8009656518149799</v>
      </c>
      <c r="J1857">
        <v>1.6309759087383999</v>
      </c>
      <c r="K1857">
        <v>1.4896305005879</v>
      </c>
      <c r="L1857">
        <v>10770.3529228226</v>
      </c>
      <c r="M1857">
        <v>250</v>
      </c>
      <c r="O1857">
        <v>43.078654936895099</v>
      </c>
      <c r="P1857">
        <v>0.72541726769013803</v>
      </c>
      <c r="Q1857">
        <v>1.5</v>
      </c>
      <c r="R1857">
        <v>0.20938921116784001</v>
      </c>
      <c r="S1857" t="s">
        <v>3731</v>
      </c>
      <c r="T1857" t="s">
        <v>3746</v>
      </c>
      <c r="U1857" t="s">
        <v>3746</v>
      </c>
      <c r="V1857" t="s">
        <v>3746</v>
      </c>
      <c r="W1857" t="s">
        <v>5590</v>
      </c>
      <c r="X1857">
        <v>6</v>
      </c>
      <c r="Y1857" t="s">
        <v>7375</v>
      </c>
      <c r="Z1857" t="s">
        <v>9245</v>
      </c>
      <c r="AA1857">
        <v>1.4486053348643519</v>
      </c>
      <c r="AB1857" t="str">
        <f>HYPERLINK("Melting_Curves/meltCurve_Q9Y5Z4_HEBP2.pdf", "Melting_Curves/meltCurve_Q9Y5Z4_HEBP2.pdf")</f>
        <v>Melting_Curves/meltCurve_Q9Y5Z4_HEBP2.pdf</v>
      </c>
    </row>
    <row r="1858" spans="1:28" x14ac:dyDescent="0.25">
      <c r="A1858" t="s">
        <v>1862</v>
      </c>
      <c r="B1858">
        <v>1</v>
      </c>
      <c r="C1858">
        <v>0.91412742382271495</v>
      </c>
      <c r="D1858">
        <v>1.6062063456995701</v>
      </c>
      <c r="E1858">
        <v>2.15794571996669</v>
      </c>
      <c r="F1858">
        <v>1.9297112655711</v>
      </c>
      <c r="G1858">
        <v>2.2203150757099399</v>
      </c>
      <c r="H1858">
        <v>1.3068164437571199</v>
      </c>
      <c r="I1858">
        <v>2.0826606393283802</v>
      </c>
      <c r="J1858">
        <v>2.0840201893173398</v>
      </c>
      <c r="K1858">
        <v>1.89708206583621</v>
      </c>
      <c r="L1858">
        <v>11095.823039610301</v>
      </c>
      <c r="M1858">
        <v>250</v>
      </c>
      <c r="O1858">
        <v>44.380452016854498</v>
      </c>
      <c r="P1858">
        <v>0.704138842287098</v>
      </c>
      <c r="Q1858">
        <v>1.5</v>
      </c>
      <c r="R1858">
        <v>4.7975842208837903E-2</v>
      </c>
      <c r="S1858" t="s">
        <v>3732</v>
      </c>
      <c r="T1858" t="s">
        <v>3746</v>
      </c>
      <c r="U1858" t="s">
        <v>3746</v>
      </c>
      <c r="V1858" t="s">
        <v>3746</v>
      </c>
      <c r="W1858" t="s">
        <v>5591</v>
      </c>
      <c r="X1858">
        <v>3</v>
      </c>
      <c r="Y1858" t="s">
        <v>7376</v>
      </c>
      <c r="Z1858" t="s">
        <v>9246</v>
      </c>
      <c r="AA1858">
        <v>1.4269061846991531</v>
      </c>
      <c r="AB1858" t="str">
        <f>HYPERLINK("Melting_Curves/meltCurve_Q9Y617_PSAT1.pdf", "Melting_Curves/meltCurve_Q9Y617_PSAT1.pdf")</f>
        <v>Melting_Curves/meltCurve_Q9Y617_PSAT1.pdf</v>
      </c>
    </row>
    <row r="1859" spans="1:28" x14ac:dyDescent="0.25">
      <c r="A1859" t="s">
        <v>1863</v>
      </c>
      <c r="B1859">
        <v>1</v>
      </c>
      <c r="C1859">
        <v>1.0550304389618701</v>
      </c>
      <c r="D1859">
        <v>1.2818407561678899</v>
      </c>
      <c r="E1859">
        <v>1.45073694328741</v>
      </c>
      <c r="F1859">
        <v>1.04846203140019</v>
      </c>
      <c r="G1859">
        <v>1.1916453059916701</v>
      </c>
      <c r="H1859">
        <v>0.69272669016340904</v>
      </c>
      <c r="I1859">
        <v>1.0287167574495399</v>
      </c>
      <c r="J1859">
        <v>1.0026834347965401</v>
      </c>
      <c r="K1859">
        <v>0.93207305350849101</v>
      </c>
      <c r="L1859">
        <v>3244.5171401135699</v>
      </c>
      <c r="M1859">
        <v>55.153981556198303</v>
      </c>
      <c r="O1859">
        <v>58.749331321515101</v>
      </c>
      <c r="P1859">
        <v>-1.6096736759104099E-2</v>
      </c>
      <c r="Q1859">
        <v>0.93141585641435198</v>
      </c>
      <c r="R1859">
        <v>-6.9656760651439095E-2</v>
      </c>
      <c r="S1859" t="s">
        <v>3733</v>
      </c>
      <c r="T1859" t="s">
        <v>3746</v>
      </c>
      <c r="U1859" t="s">
        <v>3746</v>
      </c>
      <c r="V1859" t="s">
        <v>3746</v>
      </c>
      <c r="W1859" t="s">
        <v>5592</v>
      </c>
      <c r="X1859">
        <v>9</v>
      </c>
      <c r="Y1859" t="s">
        <v>7377</v>
      </c>
      <c r="Z1859" t="s">
        <v>9247</v>
      </c>
      <c r="AA1859">
        <v>0.97460146628476851</v>
      </c>
      <c r="AB1859" t="str">
        <f>HYPERLINK("Melting_Curves/meltCurve_Q9Y646_CPQ.pdf", "Melting_Curves/meltCurve_Q9Y646_CPQ.pdf")</f>
        <v>Melting_Curves/meltCurve_Q9Y646_CPQ.pdf</v>
      </c>
    </row>
    <row r="1860" spans="1:28" x14ac:dyDescent="0.25">
      <c r="A1860" t="s">
        <v>1864</v>
      </c>
      <c r="B1860">
        <v>1</v>
      </c>
      <c r="C1860">
        <v>0.99883265810615895</v>
      </c>
      <c r="D1860">
        <v>1.2186362699993101</v>
      </c>
      <c r="E1860">
        <v>1.3857721623291901</v>
      </c>
      <c r="F1860">
        <v>1.0315182311336999</v>
      </c>
      <c r="G1860">
        <v>1.1227769003639401</v>
      </c>
      <c r="H1860">
        <v>0.86060564444139298</v>
      </c>
      <c r="I1860">
        <v>1.1605438439881901</v>
      </c>
      <c r="J1860">
        <v>1.17777930371489</v>
      </c>
      <c r="K1860">
        <v>1.0311748952825699</v>
      </c>
      <c r="L1860">
        <v>11005.990277578299</v>
      </c>
      <c r="M1860">
        <v>250</v>
      </c>
      <c r="O1860">
        <v>44.0211439950494</v>
      </c>
      <c r="P1860">
        <v>0.17548427129542499</v>
      </c>
      <c r="Q1860">
        <v>1.1236002935096701</v>
      </c>
      <c r="R1860">
        <v>0.12788703684327499</v>
      </c>
      <c r="S1860" t="s">
        <v>3734</v>
      </c>
      <c r="T1860" t="s">
        <v>3746</v>
      </c>
      <c r="U1860" t="s">
        <v>3746</v>
      </c>
      <c r="V1860" t="s">
        <v>3746</v>
      </c>
      <c r="W1860" t="s">
        <v>5593</v>
      </c>
      <c r="X1860">
        <v>8</v>
      </c>
      <c r="Y1860" t="s">
        <v>7378</v>
      </c>
      <c r="Z1860" t="s">
        <v>9248</v>
      </c>
      <c r="AA1860">
        <v>1.107011984838544</v>
      </c>
      <c r="AB1860" t="str">
        <f>HYPERLINK("Melting_Curves/meltCurve_Q9Y653_2_GPR56.pdf", "Melting_Curves/meltCurve_Q9Y653_2_GPR56.pdf")</f>
        <v>Melting_Curves/meltCurve_Q9Y653_2_GPR56.pdf</v>
      </c>
    </row>
    <row r="1861" spans="1:28" x14ac:dyDescent="0.25">
      <c r="A1861" t="s">
        <v>1865</v>
      </c>
      <c r="B1861">
        <v>1</v>
      </c>
      <c r="C1861">
        <v>0.89089083289882798</v>
      </c>
      <c r="D1861">
        <v>1.4079910395303501</v>
      </c>
      <c r="E1861">
        <v>1.80115095687774</v>
      </c>
      <c r="F1861">
        <v>1.36867311665991</v>
      </c>
      <c r="G1861">
        <v>1.6458490238109</v>
      </c>
      <c r="H1861">
        <v>0.88973215147828399</v>
      </c>
      <c r="I1861">
        <v>1.7486626885271199</v>
      </c>
      <c r="J1861">
        <v>1.61566537280575</v>
      </c>
      <c r="K1861">
        <v>1.5364308749975899</v>
      </c>
      <c r="L1861">
        <v>11431.489507697999</v>
      </c>
      <c r="M1861">
        <v>250</v>
      </c>
      <c r="O1861">
        <v>45.723031890931502</v>
      </c>
      <c r="P1861">
        <v>0.68346298914702497</v>
      </c>
      <c r="Q1861">
        <v>1.5</v>
      </c>
      <c r="R1861">
        <v>0.45752813907474899</v>
      </c>
      <c r="S1861" t="s">
        <v>3735</v>
      </c>
      <c r="T1861" t="s">
        <v>3746</v>
      </c>
      <c r="U1861" t="s">
        <v>3746</v>
      </c>
      <c r="V1861" t="s">
        <v>3746</v>
      </c>
      <c r="W1861" t="s">
        <v>5594</v>
      </c>
      <c r="X1861">
        <v>4</v>
      </c>
      <c r="Y1861" t="s">
        <v>7379</v>
      </c>
      <c r="Z1861" t="s">
        <v>9249</v>
      </c>
      <c r="AA1861">
        <v>1.4045272419811199</v>
      </c>
      <c r="AB1861" t="str">
        <f>HYPERLINK("Melting_Curves/meltCurve_Q9Y678_COPG1.pdf", "Melting_Curves/meltCurve_Q9Y678_COPG1.pdf")</f>
        <v>Melting_Curves/meltCurve_Q9Y678_COPG1.pdf</v>
      </c>
    </row>
    <row r="1862" spans="1:28" x14ac:dyDescent="0.25">
      <c r="A1862" t="s">
        <v>1866</v>
      </c>
      <c r="B1862">
        <v>1</v>
      </c>
      <c r="C1862">
        <v>1.09365098524397</v>
      </c>
      <c r="D1862">
        <v>1.37851172334711</v>
      </c>
      <c r="E1862">
        <v>1.5750324391200701</v>
      </c>
      <c r="F1862">
        <v>0.859606505929569</v>
      </c>
      <c r="G1862">
        <v>1.0900449621292101</v>
      </c>
      <c r="H1862">
        <v>0.80017502036874999</v>
      </c>
      <c r="I1862">
        <v>0.93963306074413799</v>
      </c>
      <c r="J1862">
        <v>0.94785600048281504</v>
      </c>
      <c r="K1862">
        <v>1.08488487884366</v>
      </c>
      <c r="L1862">
        <v>10263.421880779601</v>
      </c>
      <c r="M1862">
        <v>250</v>
      </c>
      <c r="O1862">
        <v>41.051052481918802</v>
      </c>
      <c r="P1862">
        <v>0.130155836922769</v>
      </c>
      <c r="Q1862">
        <v>1.08548856183145</v>
      </c>
      <c r="R1862">
        <v>1.3029086210237399E-2</v>
      </c>
      <c r="S1862" t="s">
        <v>3736</v>
      </c>
      <c r="T1862" t="s">
        <v>3746</v>
      </c>
      <c r="U1862" t="s">
        <v>3746</v>
      </c>
      <c r="V1862" t="s">
        <v>3746</v>
      </c>
      <c r="W1862" t="s">
        <v>5595</v>
      </c>
      <c r="X1862">
        <v>3</v>
      </c>
      <c r="Y1862" t="s">
        <v>7380</v>
      </c>
      <c r="Z1862" t="s">
        <v>9250</v>
      </c>
      <c r="AA1862">
        <v>1.082479186824542</v>
      </c>
      <c r="AB1862" t="str">
        <f>HYPERLINK("Melting_Curves/meltCurve_Q9Y679_AUP1.pdf", "Melting_Curves/meltCurve_Q9Y679_AUP1.pdf")</f>
        <v>Melting_Curves/meltCurve_Q9Y679_AUP1.pdf</v>
      </c>
    </row>
    <row r="1863" spans="1:28" x14ac:dyDescent="0.25">
      <c r="A1863" t="s">
        <v>1867</v>
      </c>
      <c r="B1863">
        <v>1</v>
      </c>
      <c r="C1863">
        <v>0.95931861481564495</v>
      </c>
      <c r="D1863">
        <v>1.5101049721693001</v>
      </c>
      <c r="E1863">
        <v>1.81243229108297</v>
      </c>
      <c r="F1863">
        <v>1.17213941499496</v>
      </c>
      <c r="G1863">
        <v>1.12959019761665</v>
      </c>
      <c r="H1863">
        <v>0.80847248683178297</v>
      </c>
      <c r="I1863">
        <v>1.1913780865926999</v>
      </c>
      <c r="J1863">
        <v>1.24774926220628</v>
      </c>
      <c r="K1863">
        <v>1.1083342672494301</v>
      </c>
      <c r="L1863">
        <v>11059.166881630799</v>
      </c>
      <c r="M1863">
        <v>250</v>
      </c>
      <c r="O1863">
        <v>44.233837247380301</v>
      </c>
      <c r="P1863">
        <v>0.34973636145444997</v>
      </c>
      <c r="Q1863">
        <v>1.24752289717068</v>
      </c>
      <c r="R1863">
        <v>0.154293173233328</v>
      </c>
      <c r="S1863" t="s">
        <v>3737</v>
      </c>
      <c r="T1863" t="s">
        <v>3746</v>
      </c>
      <c r="U1863" t="s">
        <v>3746</v>
      </c>
      <c r="V1863" t="s">
        <v>3746</v>
      </c>
      <c r="W1863" t="s">
        <v>5596</v>
      </c>
      <c r="X1863">
        <v>7</v>
      </c>
      <c r="Y1863" t="s">
        <v>7381</v>
      </c>
      <c r="Z1863" t="s">
        <v>9251</v>
      </c>
      <c r="AA1863">
        <v>1.212547940130162</v>
      </c>
      <c r="AB1863" t="str">
        <f>HYPERLINK("Melting_Curves/meltCurve_Q9Y696_CLIC4.pdf", "Melting_Curves/meltCurve_Q9Y696_CLIC4.pdf")</f>
        <v>Melting_Curves/meltCurve_Q9Y696_CLIC4.pdf</v>
      </c>
    </row>
    <row r="1864" spans="1:28" x14ac:dyDescent="0.25">
      <c r="A1864" t="s">
        <v>1868</v>
      </c>
      <c r="B1864">
        <v>1</v>
      </c>
      <c r="C1864">
        <v>0.97964463203757901</v>
      </c>
      <c r="D1864">
        <v>1.6335352985227001</v>
      </c>
      <c r="E1864">
        <v>2.3236208500692102</v>
      </c>
      <c r="F1864">
        <v>1.81927519459006</v>
      </c>
      <c r="G1864">
        <v>2.10316109560442</v>
      </c>
      <c r="H1864">
        <v>1.70558467787687</v>
      </c>
      <c r="I1864">
        <v>2.3252093403226901</v>
      </c>
      <c r="J1864">
        <v>2.5364785440352202</v>
      </c>
      <c r="K1864">
        <v>2.3079628747135001</v>
      </c>
      <c r="S1864" t="s">
        <v>3738</v>
      </c>
      <c r="T1864" t="s">
        <v>3746</v>
      </c>
      <c r="U1864" t="s">
        <v>3747</v>
      </c>
      <c r="V1864" t="s">
        <v>3746</v>
      </c>
      <c r="W1864" t="s">
        <v>5597</v>
      </c>
      <c r="X1864">
        <v>4</v>
      </c>
      <c r="Y1864" t="s">
        <v>7382</v>
      </c>
      <c r="Z1864" t="s">
        <v>9252</v>
      </c>
      <c r="AB1864" t="str">
        <f>HYPERLINK("Melting_Curves/meltCurve_Q9Y6B6_SAR1B.pdf", "Melting_Curves/meltCurve_Q9Y6B6_SAR1B.pdf")</f>
        <v>Melting_Curves/meltCurve_Q9Y6B6_SAR1B.pdf</v>
      </c>
    </row>
    <row r="1865" spans="1:28" x14ac:dyDescent="0.25">
      <c r="A1865" t="s">
        <v>1869</v>
      </c>
      <c r="B1865">
        <v>1</v>
      </c>
      <c r="C1865">
        <v>1.2042601749714701</v>
      </c>
      <c r="D1865">
        <v>2.43723849372385</v>
      </c>
      <c r="E1865">
        <v>2.5545834918219898</v>
      </c>
      <c r="F1865">
        <v>5.0348041080258596</v>
      </c>
      <c r="G1865">
        <v>3.1755420311905702</v>
      </c>
      <c r="H1865">
        <v>1.0245340433625001</v>
      </c>
      <c r="I1865">
        <v>2.1122099657664499</v>
      </c>
      <c r="J1865">
        <v>3.2219475085583902</v>
      </c>
      <c r="K1865">
        <v>3.2262267021681201</v>
      </c>
      <c r="L1865">
        <v>10740.876582692599</v>
      </c>
      <c r="M1865">
        <v>250</v>
      </c>
      <c r="O1865">
        <v>42.960756875314999</v>
      </c>
      <c r="P1865">
        <v>0.72740804059914399</v>
      </c>
      <c r="Q1865">
        <v>1.5</v>
      </c>
      <c r="R1865">
        <v>-0.67955628806477097</v>
      </c>
      <c r="S1865" t="s">
        <v>3739</v>
      </c>
      <c r="T1865" t="s">
        <v>3746</v>
      </c>
      <c r="U1865" t="s">
        <v>3746</v>
      </c>
      <c r="V1865" t="s">
        <v>3746</v>
      </c>
      <c r="W1865" t="s">
        <v>5598</v>
      </c>
      <c r="X1865">
        <v>3</v>
      </c>
      <c r="Y1865" t="s">
        <v>7383</v>
      </c>
      <c r="Z1865" t="s">
        <v>9253</v>
      </c>
      <c r="AA1865">
        <v>1.4505705276557459</v>
      </c>
      <c r="AB1865" t="str">
        <f>HYPERLINK("Melting_Curves/meltCurve_Q9Y6E0_STK24.pdf", "Melting_Curves/meltCurve_Q9Y6E0_STK24.pdf")</f>
        <v>Melting_Curves/meltCurve_Q9Y6E0_STK24.pdf</v>
      </c>
    </row>
    <row r="1866" spans="1:28" x14ac:dyDescent="0.25">
      <c r="A1866" t="s">
        <v>1870</v>
      </c>
      <c r="B1866">
        <v>1</v>
      </c>
      <c r="C1866">
        <v>0.99754279740975504</v>
      </c>
      <c r="D1866">
        <v>1.3374512971586101</v>
      </c>
      <c r="E1866">
        <v>1.4778512374255</v>
      </c>
      <c r="F1866">
        <v>1.0961702936425</v>
      </c>
      <c r="G1866">
        <v>1.1769185864976</v>
      </c>
      <c r="H1866">
        <v>0.71355262622011695</v>
      </c>
      <c r="I1866">
        <v>1.0373331885258099</v>
      </c>
      <c r="J1866">
        <v>1.04941556590326</v>
      </c>
      <c r="K1866">
        <v>1.00936723639375</v>
      </c>
      <c r="L1866">
        <v>2008.46255379382</v>
      </c>
      <c r="M1866">
        <v>29.712052066241299</v>
      </c>
      <c r="O1866">
        <v>67.293579445646998</v>
      </c>
      <c r="P1866">
        <v>3.4125512453385301E-3</v>
      </c>
      <c r="Q1866">
        <v>1.0309155668152401</v>
      </c>
      <c r="R1866">
        <v>-0.20449411156289199</v>
      </c>
      <c r="S1866" t="s">
        <v>3740</v>
      </c>
      <c r="T1866" t="s">
        <v>3746</v>
      </c>
      <c r="U1866" t="s">
        <v>3746</v>
      </c>
      <c r="V1866" t="s">
        <v>3746</v>
      </c>
      <c r="W1866" t="s">
        <v>5599</v>
      </c>
      <c r="X1866">
        <v>19</v>
      </c>
      <c r="Y1866" t="s">
        <v>7384</v>
      </c>
      <c r="Z1866" t="s">
        <v>9254</v>
      </c>
      <c r="AA1866">
        <v>1.003051988869045</v>
      </c>
      <c r="AB1866" t="str">
        <f>HYPERLINK("Melting_Curves/meltCurve_Q9Y6R7_FCGBP.pdf", "Melting_Curves/meltCurve_Q9Y6R7_FCGBP.pdf")</f>
        <v>Melting_Curves/meltCurve_Q9Y6R7_FCGBP.pdf</v>
      </c>
    </row>
    <row r="1867" spans="1:28" x14ac:dyDescent="0.25">
      <c r="A1867" t="s">
        <v>1871</v>
      </c>
      <c r="B1867">
        <v>1</v>
      </c>
      <c r="C1867">
        <v>0.77145203821380703</v>
      </c>
      <c r="D1867">
        <v>1.1908961224225101</v>
      </c>
      <c r="E1867">
        <v>1.38040893961008</v>
      </c>
      <c r="F1867">
        <v>1.0407210478537201</v>
      </c>
      <c r="G1867">
        <v>1.30929840487615</v>
      </c>
      <c r="H1867">
        <v>0.64500929408204699</v>
      </c>
      <c r="I1867">
        <v>0.86625167509618295</v>
      </c>
      <c r="J1867">
        <v>1.22003198893356</v>
      </c>
      <c r="K1867">
        <v>0.93805386244758604</v>
      </c>
      <c r="L1867">
        <v>11115.2981980937</v>
      </c>
      <c r="M1867">
        <v>250</v>
      </c>
      <c r="O1867">
        <v>44.458347562282398</v>
      </c>
      <c r="P1867">
        <v>0.10379019376470899</v>
      </c>
      <c r="Q1867">
        <v>1.0738294480550099</v>
      </c>
      <c r="R1867">
        <v>5.9348173328946402E-2</v>
      </c>
      <c r="S1867" t="s">
        <v>3741</v>
      </c>
      <c r="T1867" t="s">
        <v>3746</v>
      </c>
      <c r="U1867" t="s">
        <v>3746</v>
      </c>
      <c r="V1867" t="s">
        <v>3746</v>
      </c>
      <c r="W1867" t="s">
        <v>5600</v>
      </c>
      <c r="X1867">
        <v>1</v>
      </c>
      <c r="Y1867" t="s">
        <v>7385</v>
      </c>
      <c r="Z1867" t="s">
        <v>9255</v>
      </c>
      <c r="AA1867">
        <v>1.062844773854787</v>
      </c>
      <c r="AB1867" t="str">
        <f>HYPERLINK("Melting_Curves/meltCurve_Q9Y6X5_ENPP4.pdf", "Melting_Curves/meltCurve_Q9Y6X5_ENPP4.pdf")</f>
        <v>Melting_Curves/meltCurve_Q9Y6X5_ENPP4.pdf</v>
      </c>
    </row>
    <row r="1868" spans="1:28" x14ac:dyDescent="0.25">
      <c r="A1868" t="s">
        <v>1872</v>
      </c>
      <c r="B1868">
        <v>1</v>
      </c>
      <c r="C1868">
        <v>1.0561591002767501</v>
      </c>
      <c r="D1868">
        <v>1.2482335276452901</v>
      </c>
      <c r="E1868">
        <v>1.56406406406406</v>
      </c>
      <c r="F1868">
        <v>1.1062974739445299</v>
      </c>
      <c r="G1868">
        <v>1.00839074368486</v>
      </c>
      <c r="H1868">
        <v>0.65553789083200897</v>
      </c>
      <c r="I1868">
        <v>1.1402284637578799</v>
      </c>
      <c r="J1868">
        <v>1.1600276747335601</v>
      </c>
      <c r="K1868">
        <v>1.0379938762291701</v>
      </c>
      <c r="L1868">
        <v>10727.071634796401</v>
      </c>
      <c r="M1868">
        <v>250</v>
      </c>
      <c r="O1868">
        <v>42.905519258900902</v>
      </c>
      <c r="P1868">
        <v>0.167660036576116</v>
      </c>
      <c r="Q1868">
        <v>1.11509671266604</v>
      </c>
      <c r="R1868">
        <v>2.94934316250836E-2</v>
      </c>
      <c r="S1868" t="s">
        <v>3742</v>
      </c>
      <c r="T1868" t="s">
        <v>3746</v>
      </c>
      <c r="U1868" t="s">
        <v>3746</v>
      </c>
      <c r="V1868" t="s">
        <v>3746</v>
      </c>
      <c r="W1868" t="s">
        <v>5601</v>
      </c>
      <c r="X1868">
        <v>3</v>
      </c>
      <c r="Y1868" t="s">
        <v>7386</v>
      </c>
      <c r="Z1868" t="s">
        <v>9256</v>
      </c>
      <c r="AA1868">
        <v>1.1039302381494951</v>
      </c>
      <c r="AB1868" t="str">
        <f>HYPERLINK("Melting_Curves/meltCurve_Q9Y6Y9_LY96.pdf", "Melting_Curves/meltCurve_Q9Y6Y9_LY96.pdf")</f>
        <v>Melting_Curves/meltCurve_Q9Y6Y9_LY96.pdf</v>
      </c>
    </row>
    <row r="1869" spans="1:28" x14ac:dyDescent="0.25">
      <c r="A1869" t="s">
        <v>1873</v>
      </c>
      <c r="B1869">
        <v>1</v>
      </c>
      <c r="C1869">
        <v>1.11575215577561</v>
      </c>
      <c r="D1869">
        <v>1.6319921099279</v>
      </c>
      <c r="E1869">
        <v>1.9149418240460601</v>
      </c>
      <c r="F1869">
        <v>1.4899175007663501</v>
      </c>
      <c r="G1869">
        <v>1.8141834708320601</v>
      </c>
      <c r="H1869">
        <v>1.30634004611427</v>
      </c>
      <c r="I1869">
        <v>2.2158841012381498</v>
      </c>
      <c r="J1869">
        <v>2.2450720368914201</v>
      </c>
      <c r="K1869">
        <v>2.0206314723247698</v>
      </c>
      <c r="L1869">
        <v>10776.472940318799</v>
      </c>
      <c r="M1869">
        <v>250</v>
      </c>
      <c r="O1869">
        <v>43.103133281140302</v>
      </c>
      <c r="P1869">
        <v>0.72500529928515201</v>
      </c>
      <c r="Q1869">
        <v>1.5</v>
      </c>
      <c r="R1869">
        <v>5.1155448488482497E-2</v>
      </c>
      <c r="S1869" t="s">
        <v>3743</v>
      </c>
      <c r="T1869" t="s">
        <v>3746</v>
      </c>
      <c r="U1869" t="s">
        <v>3746</v>
      </c>
      <c r="V1869" t="s">
        <v>3746</v>
      </c>
      <c r="W1869" t="s">
        <v>5602</v>
      </c>
      <c r="X1869">
        <v>2</v>
      </c>
      <c r="Y1869" t="s">
        <v>7387</v>
      </c>
      <c r="Z1869" t="s">
        <v>9257</v>
      </c>
      <c r="AA1869">
        <v>1.44819731221838</v>
      </c>
      <c r="AB1869" t="str">
        <f>HYPERLINK("Melting_Curves/meltCurve_R4GMT0_ACTR1A.pdf", "Melting_Curves/meltCurve_R4GMT0_ACTR1A.pdf")</f>
        <v>Melting_Curves/meltCurve_R4GMT0_ACTR1A.pdf</v>
      </c>
    </row>
    <row r="1870" spans="1:28" x14ac:dyDescent="0.25">
      <c r="A1870" t="s">
        <v>1874</v>
      </c>
      <c r="B1870">
        <v>1</v>
      </c>
      <c r="C1870">
        <v>0.92774728016768104</v>
      </c>
      <c r="D1870">
        <v>1.4510430182653</v>
      </c>
      <c r="E1870">
        <v>1.4807865056392899</v>
      </c>
      <c r="F1870">
        <v>0.95050404231959296</v>
      </c>
      <c r="G1870">
        <v>1.0082842599061801</v>
      </c>
      <c r="H1870">
        <v>0.35165186146321997</v>
      </c>
      <c r="I1870">
        <v>1.5098313204910701</v>
      </c>
      <c r="J1870">
        <v>1.15270985128256</v>
      </c>
      <c r="K1870">
        <v>0.97899990018964</v>
      </c>
      <c r="L1870">
        <v>1977.4877940585</v>
      </c>
      <c r="M1870">
        <v>31.0445035428423</v>
      </c>
      <c r="O1870">
        <v>63.435931734244797</v>
      </c>
      <c r="P1870">
        <v>1.6069175938250101E-2</v>
      </c>
      <c r="Q1870">
        <v>1.1313414097555601</v>
      </c>
      <c r="R1870">
        <v>-3.07762586979374E-2</v>
      </c>
      <c r="S1870" t="s">
        <v>3744</v>
      </c>
      <c r="T1870" t="s">
        <v>3746</v>
      </c>
      <c r="U1870" t="s">
        <v>3746</v>
      </c>
      <c r="V1870" t="s">
        <v>3746</v>
      </c>
      <c r="W1870" t="s">
        <v>5603</v>
      </c>
      <c r="X1870">
        <v>1</v>
      </c>
      <c r="Y1870" t="s">
        <v>7388</v>
      </c>
      <c r="Z1870" t="s">
        <v>9258</v>
      </c>
      <c r="AA1870">
        <v>1.0273180490722089</v>
      </c>
      <c r="AB1870" t="str">
        <f>HYPERLINK("Melting_Curves/meltCurve_R4GMX0_YTHDF3.pdf", "Melting_Curves/meltCurve_R4GMX0_YTHDF3.pdf")</f>
        <v>Melting_Curves/meltCurve_R4GMX0_YTHDF3.pdf</v>
      </c>
    </row>
    <row r="1871" spans="1:28" x14ac:dyDescent="0.25">
      <c r="A1871" t="s">
        <v>1875</v>
      </c>
      <c r="B1871">
        <v>1</v>
      </c>
      <c r="C1871">
        <v>1.3851729299614</v>
      </c>
      <c r="D1871">
        <v>1.6895926888836399</v>
      </c>
      <c r="E1871">
        <v>2.32561254234618</v>
      </c>
      <c r="F1871">
        <v>1.3158433782399701</v>
      </c>
      <c r="G1871">
        <v>1.5050815410068501</v>
      </c>
      <c r="H1871">
        <v>1.0742141337745199</v>
      </c>
      <c r="I1871">
        <v>1.5836287717639601</v>
      </c>
      <c r="J1871">
        <v>1.41424407153549</v>
      </c>
      <c r="K1871">
        <v>1.51902623493264</v>
      </c>
      <c r="L1871">
        <v>10673.079617773899</v>
      </c>
      <c r="M1871">
        <v>250</v>
      </c>
      <c r="O1871">
        <v>42.689591527602197</v>
      </c>
      <c r="P1871">
        <v>0.73202864284818403</v>
      </c>
      <c r="Q1871">
        <v>1.5</v>
      </c>
      <c r="R1871">
        <v>0.215099775539247</v>
      </c>
      <c r="S1871" t="s">
        <v>3745</v>
      </c>
      <c r="T1871" t="s">
        <v>3746</v>
      </c>
      <c r="U1871" t="s">
        <v>3746</v>
      </c>
      <c r="V1871" t="s">
        <v>3746</v>
      </c>
      <c r="W1871" t="s">
        <v>5604</v>
      </c>
      <c r="X1871">
        <v>1</v>
      </c>
      <c r="Y1871" t="s">
        <v>7389</v>
      </c>
      <c r="Z1871" t="s">
        <v>9259</v>
      </c>
      <c r="AA1871">
        <v>1.45509056318244</v>
      </c>
      <c r="AB1871" t="str">
        <f>HYPERLINK("Melting_Curves/meltCurve_R4GNF9_TSTD1.pdf", "Melting_Curves/meltCurve_R4GNF9_TSTD1.pdf")</f>
        <v>Melting_Curves/meltCurve_R4GNF9_TSTD1.pdf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Jarzab</cp:lastModifiedBy>
  <dcterms:created xsi:type="dcterms:W3CDTF">2017-09-14T13:08:37Z</dcterms:created>
  <dcterms:modified xsi:type="dcterms:W3CDTF">2018-08-08T08:22:06Z</dcterms:modified>
</cp:coreProperties>
</file>