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internal_projects\active\Meltome\Meltome_analyzed_data\body_fluids\P014428_SeminalPlasma_24fr_hSAX_HF_10.17\"/>
    </mc:Choice>
  </mc:AlternateContent>
  <bookViews>
    <workbookView xWindow="0" yWindow="0" windowWidth="25200" windowHeight="113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B1323" i="1" l="1"/>
  <c r="AB1322" i="1"/>
  <c r="AB1321" i="1"/>
  <c r="AB1320" i="1"/>
  <c r="AB1319" i="1"/>
  <c r="AB1318" i="1"/>
  <c r="AB1317" i="1"/>
  <c r="AB1316" i="1"/>
  <c r="AB1315" i="1"/>
  <c r="AB1314" i="1"/>
  <c r="AB1313" i="1"/>
  <c r="AB1312" i="1"/>
  <c r="AB1311" i="1"/>
  <c r="AB1310" i="1"/>
  <c r="AB1309" i="1"/>
  <c r="AB1308" i="1"/>
  <c r="AB1307" i="1"/>
  <c r="AB1306" i="1"/>
  <c r="AB1305" i="1"/>
  <c r="AB1304" i="1"/>
  <c r="AB1303" i="1"/>
  <c r="AB1302" i="1"/>
  <c r="AB1301" i="1"/>
  <c r="AB1300" i="1"/>
  <c r="AB1299" i="1"/>
  <c r="AB1298" i="1"/>
  <c r="AB1297" i="1"/>
  <c r="AB1296" i="1"/>
  <c r="AB1295" i="1"/>
  <c r="AB1294" i="1"/>
  <c r="AB1293" i="1"/>
  <c r="AB1292" i="1"/>
  <c r="AB1291" i="1"/>
  <c r="AB1290" i="1"/>
  <c r="AB1289" i="1"/>
  <c r="AB1288" i="1"/>
  <c r="AB1287" i="1"/>
  <c r="AB1286" i="1"/>
  <c r="AB1285" i="1"/>
  <c r="AB1284" i="1"/>
  <c r="AB1283" i="1"/>
  <c r="AB1282" i="1"/>
  <c r="AB1281" i="1"/>
  <c r="AB1280" i="1"/>
  <c r="AB1279" i="1"/>
  <c r="AB1278" i="1"/>
  <c r="AB1277" i="1"/>
  <c r="AB1276" i="1"/>
  <c r="AB1275" i="1"/>
  <c r="AB1274" i="1"/>
  <c r="AB1273" i="1"/>
  <c r="AB1272" i="1"/>
  <c r="AB1271" i="1"/>
  <c r="AB1270" i="1"/>
  <c r="AB1269" i="1"/>
  <c r="AB1268" i="1"/>
  <c r="AB1267" i="1"/>
  <c r="AB1266" i="1"/>
  <c r="AB1265" i="1"/>
  <c r="AB1264" i="1"/>
  <c r="AB1263" i="1"/>
  <c r="AB1262" i="1"/>
  <c r="AB1261" i="1"/>
  <c r="AB1260" i="1"/>
  <c r="AB1259" i="1"/>
  <c r="AB1258" i="1"/>
  <c r="AB1257" i="1"/>
  <c r="AB1256" i="1"/>
  <c r="AB1255" i="1"/>
  <c r="AB1254" i="1"/>
  <c r="AB1253" i="1"/>
  <c r="AB1252" i="1"/>
  <c r="AB1251" i="1"/>
  <c r="AB1250" i="1"/>
  <c r="AB1249" i="1"/>
  <c r="AB1248" i="1"/>
  <c r="AB1247" i="1"/>
  <c r="AB1246" i="1"/>
  <c r="AB1245" i="1"/>
  <c r="AB1244" i="1"/>
  <c r="AB1243" i="1"/>
  <c r="AB1242" i="1"/>
  <c r="AB1241" i="1"/>
  <c r="AB1240" i="1"/>
  <c r="AB1239" i="1"/>
  <c r="AB1238" i="1"/>
  <c r="AB1237" i="1"/>
  <c r="AB1236" i="1"/>
  <c r="AB1235" i="1"/>
  <c r="AB1234" i="1"/>
  <c r="AB1233" i="1"/>
  <c r="AB1232" i="1"/>
  <c r="AB1231" i="1"/>
  <c r="AB1230" i="1"/>
  <c r="AB1229" i="1"/>
  <c r="AB1228" i="1"/>
  <c r="AB1227" i="1"/>
  <c r="AB1226" i="1"/>
  <c r="AB1225" i="1"/>
  <c r="AB1224" i="1"/>
  <c r="AB1223" i="1"/>
  <c r="AB1222" i="1"/>
  <c r="AB1221" i="1"/>
  <c r="AB1220" i="1"/>
  <c r="AB1219" i="1"/>
  <c r="AB1218" i="1"/>
  <c r="AB1217" i="1"/>
  <c r="AB1216" i="1"/>
  <c r="AB1215" i="1"/>
  <c r="AB1214" i="1"/>
  <c r="AB1213" i="1"/>
  <c r="AB1212" i="1"/>
  <c r="AB1211" i="1"/>
  <c r="AB1210" i="1"/>
  <c r="AB1209" i="1"/>
  <c r="AB1208" i="1"/>
  <c r="AB1207" i="1"/>
  <c r="AB1206" i="1"/>
  <c r="AB1205" i="1"/>
  <c r="AB1204" i="1"/>
  <c r="AB1203" i="1"/>
  <c r="AB1202" i="1"/>
  <c r="AB1201" i="1"/>
  <c r="AB1200" i="1"/>
  <c r="AB1199" i="1"/>
  <c r="AB1198" i="1"/>
  <c r="AB1197" i="1"/>
  <c r="AB1196" i="1"/>
  <c r="AB1195" i="1"/>
  <c r="AB1194" i="1"/>
  <c r="AB1193" i="1"/>
  <c r="AB1192" i="1"/>
  <c r="AB1191" i="1"/>
  <c r="AB1190" i="1"/>
  <c r="AB1189" i="1"/>
  <c r="AB1188" i="1"/>
  <c r="AB1187" i="1"/>
  <c r="AB1186" i="1"/>
  <c r="AB1185" i="1"/>
  <c r="AB1184" i="1"/>
  <c r="AB1183" i="1"/>
  <c r="AB1182" i="1"/>
  <c r="AB1181" i="1"/>
  <c r="AB1180" i="1"/>
  <c r="AB1179" i="1"/>
  <c r="AB1178" i="1"/>
  <c r="AB1177" i="1"/>
  <c r="AB1176" i="1"/>
  <c r="AB1175" i="1"/>
  <c r="AB1174" i="1"/>
  <c r="AB1173" i="1"/>
  <c r="AB1172" i="1"/>
  <c r="AB1171" i="1"/>
  <c r="AB1170" i="1"/>
  <c r="AB1169" i="1"/>
  <c r="AB1168" i="1"/>
  <c r="AB1167" i="1"/>
  <c r="AB1166" i="1"/>
  <c r="AB1165" i="1"/>
  <c r="AB1164" i="1"/>
  <c r="AB1163" i="1"/>
  <c r="AB1162" i="1"/>
  <c r="AB1161" i="1"/>
  <c r="AB1160" i="1"/>
  <c r="AB1159" i="1"/>
  <c r="AB1158" i="1"/>
  <c r="AB1157" i="1"/>
  <c r="AB1156" i="1"/>
  <c r="AB1155" i="1"/>
  <c r="AB1154" i="1"/>
  <c r="AB1153" i="1"/>
  <c r="AB1152" i="1"/>
  <c r="AB1151" i="1"/>
  <c r="AB1150" i="1"/>
  <c r="AB1149" i="1"/>
  <c r="AB1148" i="1"/>
  <c r="AB1147" i="1"/>
  <c r="AB1146" i="1"/>
  <c r="AB1145" i="1"/>
  <c r="AB1144" i="1"/>
  <c r="AB1143" i="1"/>
  <c r="AB1142" i="1"/>
  <c r="AB1141" i="1"/>
  <c r="AB1140" i="1"/>
  <c r="AB1139" i="1"/>
  <c r="AB1138" i="1"/>
  <c r="AB1137" i="1"/>
  <c r="AB1136" i="1"/>
  <c r="AB1135" i="1"/>
  <c r="AB1134" i="1"/>
  <c r="AB1133" i="1"/>
  <c r="AB1132" i="1"/>
  <c r="AB1131" i="1"/>
  <c r="AB1130" i="1"/>
  <c r="AB1129" i="1"/>
  <c r="AB1128" i="1"/>
  <c r="AB1127" i="1"/>
  <c r="AB1126" i="1"/>
  <c r="AB1125" i="1"/>
  <c r="AB1124" i="1"/>
  <c r="AB1123" i="1"/>
  <c r="AB1122" i="1"/>
  <c r="AB1121" i="1"/>
  <c r="AB1120" i="1"/>
  <c r="AB1119" i="1"/>
  <c r="AB1118" i="1"/>
  <c r="AB1117" i="1"/>
  <c r="AB1116" i="1"/>
  <c r="AB1115" i="1"/>
  <c r="AB1114" i="1"/>
  <c r="AB1113" i="1"/>
  <c r="AB1112" i="1"/>
  <c r="AB1111" i="1"/>
  <c r="AB1110" i="1"/>
  <c r="AB1109" i="1"/>
  <c r="AB1108" i="1"/>
  <c r="AB1107" i="1"/>
  <c r="AB1106" i="1"/>
  <c r="AB1105" i="1"/>
  <c r="AB1104" i="1"/>
  <c r="AB1103" i="1"/>
  <c r="AB1102" i="1"/>
  <c r="AB1101" i="1"/>
  <c r="AB1100" i="1"/>
  <c r="AB1099" i="1"/>
  <c r="AB1098" i="1"/>
  <c r="AB1097" i="1"/>
  <c r="AB1096" i="1"/>
  <c r="AB1095" i="1"/>
  <c r="AB1094" i="1"/>
  <c r="AB1093" i="1"/>
  <c r="AB1092" i="1"/>
  <c r="AB1091" i="1"/>
  <c r="AB1090" i="1"/>
  <c r="AB1089" i="1"/>
  <c r="AB1088" i="1"/>
  <c r="AB1087" i="1"/>
  <c r="AB1086" i="1"/>
  <c r="AB1085" i="1"/>
  <c r="AB1084" i="1"/>
  <c r="AB1083" i="1"/>
  <c r="AB1082" i="1"/>
  <c r="AB1081" i="1"/>
  <c r="AB1080" i="1"/>
  <c r="AB1079" i="1"/>
  <c r="AB1078" i="1"/>
  <c r="AB1077" i="1"/>
  <c r="AB1076" i="1"/>
  <c r="AB1075" i="1"/>
  <c r="AB1074" i="1"/>
  <c r="AB1073" i="1"/>
  <c r="AB1072" i="1"/>
  <c r="AB1071" i="1"/>
  <c r="AB1070" i="1"/>
  <c r="AB1069" i="1"/>
  <c r="AB1068" i="1"/>
  <c r="AB1067" i="1"/>
  <c r="AB1066" i="1"/>
  <c r="AB1065" i="1"/>
  <c r="AB1064" i="1"/>
  <c r="AB1063" i="1"/>
  <c r="AB1062" i="1"/>
  <c r="AB1061" i="1"/>
  <c r="AB1060" i="1"/>
  <c r="AB1059" i="1"/>
  <c r="AB1058" i="1"/>
  <c r="AB1057" i="1"/>
  <c r="AB1056" i="1"/>
  <c r="AB1055" i="1"/>
  <c r="AB1054" i="1"/>
  <c r="AB1053" i="1"/>
  <c r="AB1052" i="1"/>
  <c r="AB1051" i="1"/>
  <c r="AB1050" i="1"/>
  <c r="AB1049" i="1"/>
  <c r="AB1048" i="1"/>
  <c r="AB1047" i="1"/>
  <c r="AB1046" i="1"/>
  <c r="AB1045" i="1"/>
  <c r="AB1044" i="1"/>
  <c r="AB1043" i="1"/>
  <c r="AB1042" i="1"/>
  <c r="AB1041" i="1"/>
  <c r="AB1040" i="1"/>
  <c r="AB1039" i="1"/>
  <c r="AB1038" i="1"/>
  <c r="AB1037" i="1"/>
  <c r="AB1036" i="1"/>
  <c r="AB1035" i="1"/>
  <c r="AB1034" i="1"/>
  <c r="AB1033" i="1"/>
  <c r="AB1032" i="1"/>
  <c r="AB1031" i="1"/>
  <c r="AB1030" i="1"/>
  <c r="AB1029" i="1"/>
  <c r="AB1028" i="1"/>
  <c r="AB1027" i="1"/>
  <c r="AB1026" i="1"/>
  <c r="AB1025" i="1"/>
  <c r="AB1024" i="1"/>
  <c r="AB1023" i="1"/>
  <c r="AB1022" i="1"/>
  <c r="AB1021" i="1"/>
  <c r="AB1020" i="1"/>
  <c r="AB1019" i="1"/>
  <c r="AB1018" i="1"/>
  <c r="AB1017" i="1"/>
  <c r="AB1016" i="1"/>
  <c r="AB1015" i="1"/>
  <c r="AB1014" i="1"/>
  <c r="AB1013" i="1"/>
  <c r="AB1012" i="1"/>
  <c r="AB1011" i="1"/>
  <c r="AB1010" i="1"/>
  <c r="AB1009" i="1"/>
  <c r="AB1008" i="1"/>
  <c r="AB1007" i="1"/>
  <c r="AB1006" i="1"/>
  <c r="AB1005" i="1"/>
  <c r="AB1004" i="1"/>
  <c r="AB1003" i="1"/>
  <c r="AB1002" i="1"/>
  <c r="AB1001" i="1"/>
  <c r="AB1000" i="1"/>
  <c r="AB999" i="1"/>
  <c r="AB998" i="1"/>
  <c r="AB997" i="1"/>
  <c r="AB996" i="1"/>
  <c r="AB995" i="1"/>
  <c r="AB994" i="1"/>
  <c r="AB993" i="1"/>
  <c r="AB992" i="1"/>
  <c r="AB991" i="1"/>
  <c r="AB990" i="1"/>
  <c r="AB989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<sst xmlns="http://schemas.openxmlformats.org/spreadsheetml/2006/main" count="10598" uniqueCount="6626">
  <si>
    <t>Protein_ID</t>
  </si>
  <si>
    <t>plot</t>
  </si>
  <si>
    <t>gene_name</t>
  </si>
  <si>
    <t>uniprot_ac</t>
  </si>
  <si>
    <t>auc</t>
  </si>
  <si>
    <t>plot_link</t>
  </si>
  <si>
    <t>A0A075B6I0_IGLV8-61</t>
  </si>
  <si>
    <t>A0A075B6I9_IGLV7-46</t>
  </si>
  <si>
    <t>A0A0A0MRZ8_IGKV3D-11</t>
  </si>
  <si>
    <t>A0A0B4J1Y9_IGHV3-72</t>
  </si>
  <si>
    <t>A0A0C4DH42_IGHV3-66</t>
  </si>
  <si>
    <t>A0A0C4DH55_IGKV3D-7</t>
  </si>
  <si>
    <t>A0MZ66-8_SHTN1</t>
  </si>
  <si>
    <t>A2NJV5_IGKV2-29</t>
  </si>
  <si>
    <t>A6NGW2_STRCP1</t>
  </si>
  <si>
    <t>A8MW95_BECN2</t>
  </si>
  <si>
    <t>B2RTY4-5_MYO9A</t>
  </si>
  <si>
    <t>C4AMC7_WASH3P</t>
  </si>
  <si>
    <t>E9PAV3_NACA</t>
  </si>
  <si>
    <t>O00115-2_DNASE2</t>
  </si>
  <si>
    <t>O00151_PDLIM1</t>
  </si>
  <si>
    <t>O00159-2_MYO1C</t>
  </si>
  <si>
    <t>O00170_AIP</t>
  </si>
  <si>
    <t>O00203-3_AP3B1</t>
  </si>
  <si>
    <t>O00233_PSMD9</t>
  </si>
  <si>
    <t>O00264_PGRMC1</t>
  </si>
  <si>
    <t>O00299_CLIC1</t>
  </si>
  <si>
    <t>O00300_TNFRSF11B</t>
  </si>
  <si>
    <t>O00339-2_MATN2</t>
  </si>
  <si>
    <t>O00391_QSOX1</t>
  </si>
  <si>
    <t>O00391-2_QSOX1</t>
  </si>
  <si>
    <t>O00401_WASL</t>
  </si>
  <si>
    <t>O00423_EML1</t>
  </si>
  <si>
    <t>O00451_GFRA2</t>
  </si>
  <si>
    <t>O00461_GOLIM4</t>
  </si>
  <si>
    <t>O00462_MANBA</t>
  </si>
  <si>
    <t>O00468-6_AGRN</t>
  </si>
  <si>
    <t>O00469_PLOD2</t>
  </si>
  <si>
    <t>O00533_CHL1</t>
  </si>
  <si>
    <t>O00584_RNASET2</t>
  </si>
  <si>
    <t>O00592-2_PODXL</t>
  </si>
  <si>
    <t>O00622_CYR61</t>
  </si>
  <si>
    <t>O00754-2_MAN2B1</t>
  </si>
  <si>
    <t>O14562_UBFD1</t>
  </si>
  <si>
    <t>O14638_ENPP3</t>
  </si>
  <si>
    <t>O14672_ADAM10</t>
  </si>
  <si>
    <t>O14737_PDCD5</t>
  </si>
  <si>
    <t>O14745_SLC9A3R1</t>
  </si>
  <si>
    <t>O14786-3_NRP1</t>
  </si>
  <si>
    <t>O14818_PSMA7</t>
  </si>
  <si>
    <t>O15031_PLXNB2</t>
  </si>
  <si>
    <t>O15078-2_CEP290</t>
  </si>
  <si>
    <t>O15144_ARPC2</t>
  </si>
  <si>
    <t>O15204-2_ADAMDEC1</t>
  </si>
  <si>
    <t>O15212_PFDN6</t>
  </si>
  <si>
    <t>O15230_LAMA5</t>
  </si>
  <si>
    <t>O15231-5_ZNF185</t>
  </si>
  <si>
    <t>O15232-2_MATN3</t>
  </si>
  <si>
    <t>O15335_CHAD</t>
  </si>
  <si>
    <t>O15393_TMPRSS2</t>
  </si>
  <si>
    <t>O15394_NCAM2</t>
  </si>
  <si>
    <t>O15498-2_YKT6</t>
  </si>
  <si>
    <t>O15511_ARPC5</t>
  </si>
  <si>
    <t>O43175_PHGDH</t>
  </si>
  <si>
    <t>O43182-5_ARHGAP6</t>
  </si>
  <si>
    <t>O43237-2_DYNC1LI2</t>
  </si>
  <si>
    <t>O43240_KLK10</t>
  </si>
  <si>
    <t>O43278_SPINT1</t>
  </si>
  <si>
    <t>O43291_SPINT2</t>
  </si>
  <si>
    <t>O43399-2_TPD52L2</t>
  </si>
  <si>
    <t>O43405_COCH</t>
  </si>
  <si>
    <t>O43488_AKR7A2</t>
  </si>
  <si>
    <t>O43505_B4GAT1</t>
  </si>
  <si>
    <t>O43581_SYT7</t>
  </si>
  <si>
    <t>O43583_DENR</t>
  </si>
  <si>
    <t>O43598-2_DNPH1</t>
  </si>
  <si>
    <t>O43653_PSCA</t>
  </si>
  <si>
    <t>O43692_PI15</t>
  </si>
  <si>
    <t>O43707_ACTN4</t>
  </si>
  <si>
    <t>O43765_SGTA</t>
  </si>
  <si>
    <t>O43776_NARS</t>
  </si>
  <si>
    <t>O43852-2_CALU</t>
  </si>
  <si>
    <t>O60256-4_PRPSAP2</t>
  </si>
  <si>
    <t>O60343-4_TBC1D4</t>
  </si>
  <si>
    <t>O60353-2_FZD6</t>
  </si>
  <si>
    <t>O60506-5_SYNCRIP</t>
  </si>
  <si>
    <t>O60513_B4GALT4</t>
  </si>
  <si>
    <t>O60565-2_GREM1</t>
  </si>
  <si>
    <t>O60568_PLOD3</t>
  </si>
  <si>
    <t>O60613_SELENOF</t>
  </si>
  <si>
    <t>O60664-4_PLIN3</t>
  </si>
  <si>
    <t>O60701-3_UGDH</t>
  </si>
  <si>
    <t>O60784-3_TOM1</t>
  </si>
  <si>
    <t>O60884_DNAJA2</t>
  </si>
  <si>
    <t>O60888-3_CUTA</t>
  </si>
  <si>
    <t>O60925_PFDN1</t>
  </si>
  <si>
    <t>O60936_NOL3</t>
  </si>
  <si>
    <t>O75071_EFCAB14</t>
  </si>
  <si>
    <t>O75083-3_WDR1</t>
  </si>
  <si>
    <t>O75093_SLIT1</t>
  </si>
  <si>
    <t>O75095_MEGF6</t>
  </si>
  <si>
    <t>O75144-3_ICOSLG</t>
  </si>
  <si>
    <t>O75223-3_GGCT</t>
  </si>
  <si>
    <t>O75310_UGT2B11</t>
  </si>
  <si>
    <t>O75326-2_SEMA7A</t>
  </si>
  <si>
    <t>O75347_TBCA</t>
  </si>
  <si>
    <t>O75348_ATP6V1G1</t>
  </si>
  <si>
    <t>O75356_ENTPD5</t>
  </si>
  <si>
    <t>O75363_BCAS1</t>
  </si>
  <si>
    <t>O75368_SH3BGRL</t>
  </si>
  <si>
    <t>O75369-7_FLNB</t>
  </si>
  <si>
    <t>O75382-4_TRIM3</t>
  </si>
  <si>
    <t>O75436-2_VPS26A</t>
  </si>
  <si>
    <t>O75487_GPC4</t>
  </si>
  <si>
    <t>O75503_CLN5</t>
  </si>
  <si>
    <t>O75594_PGLYRP1</t>
  </si>
  <si>
    <t>O75629_CREG1</t>
  </si>
  <si>
    <t>O75718_CRTAP</t>
  </si>
  <si>
    <t>O75752_B3GALNT1</t>
  </si>
  <si>
    <t>O75787-2_ATP6AP2</t>
  </si>
  <si>
    <t>O75821_EIF3G</t>
  </si>
  <si>
    <t>O75822-2_EIF3J</t>
  </si>
  <si>
    <t>O75874_IDH1</t>
  </si>
  <si>
    <t>O75882-3_ATRN</t>
  </si>
  <si>
    <t>O75976_CPD</t>
  </si>
  <si>
    <t>O76076_WISP2</t>
  </si>
  <si>
    <t>O94760_DDAH1</t>
  </si>
  <si>
    <t>O94766-2_B3GAT3</t>
  </si>
  <si>
    <t>O94813-3_SLIT2</t>
  </si>
  <si>
    <t>O94875-9_SORBS2</t>
  </si>
  <si>
    <t>O94903_PROSC</t>
  </si>
  <si>
    <t>O94910-2_ADGRL1</t>
  </si>
  <si>
    <t>O94919_ENDOD1</t>
  </si>
  <si>
    <t>O94979-5_SEC31A</t>
  </si>
  <si>
    <t>O94985-2_CLSTN1</t>
  </si>
  <si>
    <t>O95025_SEMA3D</t>
  </si>
  <si>
    <t>O95274_LYPD3</t>
  </si>
  <si>
    <t>O95336_PGLS</t>
  </si>
  <si>
    <t>O95359-3_TACC2</t>
  </si>
  <si>
    <t>O95394_PGM3</t>
  </si>
  <si>
    <t>O95460-4_MATN4</t>
  </si>
  <si>
    <t>O95630_STAMBP</t>
  </si>
  <si>
    <t>O95747_OXSR1</t>
  </si>
  <si>
    <t>O95793-2_STAU1</t>
  </si>
  <si>
    <t>O95816_BAG2</t>
  </si>
  <si>
    <t>O95817_BAG3</t>
  </si>
  <si>
    <t>O95834_EML2</t>
  </si>
  <si>
    <t>O95861-3_BPNT1</t>
  </si>
  <si>
    <t>O95865_DDAH2</t>
  </si>
  <si>
    <t>O95967_EFEMP2</t>
  </si>
  <si>
    <t>O95969_SCGB1D2</t>
  </si>
  <si>
    <t>O95980_RECK</t>
  </si>
  <si>
    <t>O95994_AGR2</t>
  </si>
  <si>
    <t>O96007_MOCS2</t>
  </si>
  <si>
    <t>P00338_LDHA</t>
  </si>
  <si>
    <t>P00352_ALDH1A1</t>
  </si>
  <si>
    <t>P00390-5_GSR</t>
  </si>
  <si>
    <t>P00441_SOD1</t>
  </si>
  <si>
    <t>P00450_CP</t>
  </si>
  <si>
    <t>P00491_PNP</t>
  </si>
  <si>
    <t>P00492_HPRT1</t>
  </si>
  <si>
    <t>P00533-2_EGFR</t>
  </si>
  <si>
    <t>P00558_PGK1</t>
  </si>
  <si>
    <t>P00568_AK1</t>
  </si>
  <si>
    <t>P00709_LALBA</t>
  </si>
  <si>
    <t>P00734_F2</t>
  </si>
  <si>
    <t>P00736_C1R</t>
  </si>
  <si>
    <t>P00738_HP</t>
  </si>
  <si>
    <t>P00746_CFD</t>
  </si>
  <si>
    <t>P00747_PLG</t>
  </si>
  <si>
    <t>P00748_F12</t>
  </si>
  <si>
    <t>P00750-3_PLAT</t>
  </si>
  <si>
    <t>P00751_CFB</t>
  </si>
  <si>
    <t>P00918_CA2</t>
  </si>
  <si>
    <t>P00966_ASS1</t>
  </si>
  <si>
    <t>P01008_SERPINC1</t>
  </si>
  <si>
    <t>P01009_SERPINA1</t>
  </si>
  <si>
    <t>P01011_SERPINA3</t>
  </si>
  <si>
    <t>P01019_AGT</t>
  </si>
  <si>
    <t>P01024_C3</t>
  </si>
  <si>
    <t>P01031_C5</t>
  </si>
  <si>
    <t>P01033_TIMP1</t>
  </si>
  <si>
    <t>P01034_CST3</t>
  </si>
  <si>
    <t>P01036_CST4</t>
  </si>
  <si>
    <t>P01037_CST1</t>
  </si>
  <si>
    <t>P01040_CSTA</t>
  </si>
  <si>
    <t>P01042-2_KNG1</t>
  </si>
  <si>
    <t>P01112-2_HRAS</t>
  </si>
  <si>
    <t>P01127-2_PDGFB</t>
  </si>
  <si>
    <t>P01130-3_LDLR</t>
  </si>
  <si>
    <t>P01137_TGFB1</t>
  </si>
  <si>
    <t>P01303_NPY</t>
  </si>
  <si>
    <t>P01344_IGF2</t>
  </si>
  <si>
    <t>P01591_JCHAIN</t>
  </si>
  <si>
    <t>P01619_IGKV3-20</t>
  </si>
  <si>
    <t>P01700_IGLV1-47</t>
  </si>
  <si>
    <t>P01833_PIGR</t>
  </si>
  <si>
    <t>P01834_IGKC</t>
  </si>
  <si>
    <t>P01859_IGHG2</t>
  </si>
  <si>
    <t>P01860_IGHG3</t>
  </si>
  <si>
    <t>P01861_IGHG4</t>
  </si>
  <si>
    <t>P01876_IGHA1</t>
  </si>
  <si>
    <t>P02545-2_LMNA</t>
  </si>
  <si>
    <t>P02647_APOA1</t>
  </si>
  <si>
    <t>P02649_APOE</t>
  </si>
  <si>
    <t>P02652_APOA2</t>
  </si>
  <si>
    <t>P02671-2_FGA</t>
  </si>
  <si>
    <t>P02675_FGB</t>
  </si>
  <si>
    <t>P02679-2_FGG</t>
  </si>
  <si>
    <t>P02746_C1QB</t>
  </si>
  <si>
    <t>P02748_C9</t>
  </si>
  <si>
    <t>P02749_APOH</t>
  </si>
  <si>
    <t>P02750_LRG1</t>
  </si>
  <si>
    <t>P02751_FN1</t>
  </si>
  <si>
    <t>P02753_RBP4</t>
  </si>
  <si>
    <t>P02760_AMBP</t>
  </si>
  <si>
    <t>P02763_ORM1</t>
  </si>
  <si>
    <t>P02765_AHSG</t>
  </si>
  <si>
    <t>P02766_TTR</t>
  </si>
  <si>
    <t>P02774_GC</t>
  </si>
  <si>
    <t>P02778_CXCL10</t>
  </si>
  <si>
    <t>P02787_TF</t>
  </si>
  <si>
    <t>P02788_LTF</t>
  </si>
  <si>
    <t>P02790_HPX</t>
  </si>
  <si>
    <t>P02814_SMR3B</t>
  </si>
  <si>
    <t>P03950_ANG</t>
  </si>
  <si>
    <t>P03952_KLKB1</t>
  </si>
  <si>
    <t>P03973_SLPI</t>
  </si>
  <si>
    <t>P04004_VTN</t>
  </si>
  <si>
    <t>P04062-4_GBA</t>
  </si>
  <si>
    <t>P04066_FUCA1</t>
  </si>
  <si>
    <t>P04075_ALDOA</t>
  </si>
  <si>
    <t>P04080_CSTB</t>
  </si>
  <si>
    <t>P04083_ANXA1</t>
  </si>
  <si>
    <t>P04085-2_PDGFA</t>
  </si>
  <si>
    <t>P04155_TFF1</t>
  </si>
  <si>
    <t>P04196_HRG</t>
  </si>
  <si>
    <t>P04217_A1BG</t>
  </si>
  <si>
    <t>P04259_KRT6B</t>
  </si>
  <si>
    <t>P04275_VWF</t>
  </si>
  <si>
    <t>P04279_SEMG1</t>
  </si>
  <si>
    <t>P04350_TUBB4A</t>
  </si>
  <si>
    <t>P04406-2_GAPDH</t>
  </si>
  <si>
    <t>P04632_CAPNS1</t>
  </si>
  <si>
    <t>P04745_AMY1A</t>
  </si>
  <si>
    <t>P04792_HSPB1</t>
  </si>
  <si>
    <t>P05019-3_IGF1</t>
  </si>
  <si>
    <t>P05060_CHGB</t>
  </si>
  <si>
    <t>P05089-3_ARG1</t>
  </si>
  <si>
    <t>P05090_APOD</t>
  </si>
  <si>
    <t>P05109_S100A8</t>
  </si>
  <si>
    <t>P05154_SERPINA5</t>
  </si>
  <si>
    <t>P05155-2_SERPING1</t>
  </si>
  <si>
    <t>P05156_CFI</t>
  </si>
  <si>
    <t>P05160_F13B</t>
  </si>
  <si>
    <t>P05164-2_MPO</t>
  </si>
  <si>
    <t>P05186-2_ALPL</t>
  </si>
  <si>
    <t>P05362_ICAM1</t>
  </si>
  <si>
    <t>P05387_RPLP2</t>
  </si>
  <si>
    <t>P05452_CLEC3B</t>
  </si>
  <si>
    <t>P05783_KRT18</t>
  </si>
  <si>
    <t>P05814_CSN2</t>
  </si>
  <si>
    <t>P05981_HPN</t>
  </si>
  <si>
    <t>P06132_UROD</t>
  </si>
  <si>
    <t>P06280_GLA</t>
  </si>
  <si>
    <t>P06396-2_GSN</t>
  </si>
  <si>
    <t>P06576_ATP5B</t>
  </si>
  <si>
    <t>P06681_C2</t>
  </si>
  <si>
    <t>P06702_S100A9</t>
  </si>
  <si>
    <t>P06703_S100A6</t>
  </si>
  <si>
    <t>P06727_APOA4</t>
  </si>
  <si>
    <t>P06733_ENO1</t>
  </si>
  <si>
    <t>P06753-5_TPM3</t>
  </si>
  <si>
    <t>P06756-3_ITGAV</t>
  </si>
  <si>
    <t>P06858_LPL</t>
  </si>
  <si>
    <t>P06865_HEXA</t>
  </si>
  <si>
    <t>P06870-2_KLK1</t>
  </si>
  <si>
    <t>P07108_DBI</t>
  </si>
  <si>
    <t>P07195_LDHB</t>
  </si>
  <si>
    <t>P07203_GPX1</t>
  </si>
  <si>
    <t>P07225_PROS1</t>
  </si>
  <si>
    <t>P07237_P4HB</t>
  </si>
  <si>
    <t>P07288_KLK3</t>
  </si>
  <si>
    <t>P07339_CTSD</t>
  </si>
  <si>
    <t>P07355_ANXA2</t>
  </si>
  <si>
    <t>P07357_C8A</t>
  </si>
  <si>
    <t>P07360_C8G</t>
  </si>
  <si>
    <t>P07384_CAPN1</t>
  </si>
  <si>
    <t>P07437_TUBB</t>
  </si>
  <si>
    <t>P07478_PRSS2</t>
  </si>
  <si>
    <t>P07498_CSN3</t>
  </si>
  <si>
    <t>P07585_DCN</t>
  </si>
  <si>
    <t>P07602_PSAP</t>
  </si>
  <si>
    <t>P07686_HEXB</t>
  </si>
  <si>
    <t>P07711_CTSL</t>
  </si>
  <si>
    <t>P07737_PFN1</t>
  </si>
  <si>
    <t>P07741-2_APRT</t>
  </si>
  <si>
    <t>P07858_CTSB</t>
  </si>
  <si>
    <t>P07900_HSP90AA1</t>
  </si>
  <si>
    <t>P07949-2_RET</t>
  </si>
  <si>
    <t>P07998_RNASE1</t>
  </si>
  <si>
    <t>P08118_MSMB</t>
  </si>
  <si>
    <t>P08133-2_ANXA6</t>
  </si>
  <si>
    <t>P08134_RHOC</t>
  </si>
  <si>
    <t>P08174-4_CD55</t>
  </si>
  <si>
    <t>P08185_SERPINA6</t>
  </si>
  <si>
    <t>P08195-2_SLC3A2</t>
  </si>
  <si>
    <t>P08238_HSP90AB1</t>
  </si>
  <si>
    <t>P08246_ELANE</t>
  </si>
  <si>
    <t>P08253-3_MMP2</t>
  </si>
  <si>
    <t>P08294_SOD3</t>
  </si>
  <si>
    <t>P08473_MME</t>
  </si>
  <si>
    <t>P08571_CD14</t>
  </si>
  <si>
    <t>P08603_CFH</t>
  </si>
  <si>
    <t>P08620_FGF4</t>
  </si>
  <si>
    <t>P08670_VIM</t>
  </si>
  <si>
    <t>P08697_SERPINF2</t>
  </si>
  <si>
    <t>P08758_ANXA5</t>
  </si>
  <si>
    <t>P08833_IGFBP1</t>
  </si>
  <si>
    <t>P08865_RPSA</t>
  </si>
  <si>
    <t>P09211_GSTP1</t>
  </si>
  <si>
    <t>P09228_CST2</t>
  </si>
  <si>
    <t>P09417-2_QDPR</t>
  </si>
  <si>
    <t>P09466-2_PAEP</t>
  </si>
  <si>
    <t>P09467_FBP1</t>
  </si>
  <si>
    <t>P09486_SPARC</t>
  </si>
  <si>
    <t>P09497-2_CLTB</t>
  </si>
  <si>
    <t>P09525_ANXA4</t>
  </si>
  <si>
    <t>P09529_INHBB</t>
  </si>
  <si>
    <t>P09603_CSF1</t>
  </si>
  <si>
    <t>P09668_CTSH</t>
  </si>
  <si>
    <t>P09758_TACSTD2</t>
  </si>
  <si>
    <t>P09871_C1S</t>
  </si>
  <si>
    <t>P09958_FURIN</t>
  </si>
  <si>
    <t>P09960-2_LTA4H</t>
  </si>
  <si>
    <t>P09972_ALDOC</t>
  </si>
  <si>
    <t>P0C0L4-2_C4A</t>
  </si>
  <si>
    <t>P0C5U4_NS</t>
  </si>
  <si>
    <t>P0DMQ5_INAFM2</t>
  </si>
  <si>
    <t>P0DMV9_HSPA1B</t>
  </si>
  <si>
    <t>P0DOX2_</t>
  </si>
  <si>
    <t>P0DOX5_</t>
  </si>
  <si>
    <t>P0DOX7_</t>
  </si>
  <si>
    <t>P0DOX8_</t>
  </si>
  <si>
    <t>P0DOY3_IGLC3</t>
  </si>
  <si>
    <t>P0DP09_IGKV1-13</t>
  </si>
  <si>
    <t>P0DP25_CALM3</t>
  </si>
  <si>
    <t>P0DP57_SLURP2</t>
  </si>
  <si>
    <t>P10253_GAA</t>
  </si>
  <si>
    <t>P10451-5_SPP1</t>
  </si>
  <si>
    <t>P10586-2_PTPRF</t>
  </si>
  <si>
    <t>P10599_TXN</t>
  </si>
  <si>
    <t>P10600_TGFB3</t>
  </si>
  <si>
    <t>P10619-2_CTSA</t>
  </si>
  <si>
    <t>P10909-4_CLU</t>
  </si>
  <si>
    <t>P11021_HSPA5</t>
  </si>
  <si>
    <t>P11047_LAMC1</t>
  </si>
  <si>
    <t>P11142_HSPA8</t>
  </si>
  <si>
    <t>P11279_LAMP1</t>
  </si>
  <si>
    <t>P11684_SCGB1A1</t>
  </si>
  <si>
    <t>P11717_IGF2R</t>
  </si>
  <si>
    <t>P11908_PRPS2</t>
  </si>
  <si>
    <t>P11940-2_PABPC1</t>
  </si>
  <si>
    <t>P12081-3_HARS</t>
  </si>
  <si>
    <t>P12109_COL6A1</t>
  </si>
  <si>
    <t>P12110_COL6A2</t>
  </si>
  <si>
    <t>P12273_PIP</t>
  </si>
  <si>
    <t>P12277_CKB</t>
  </si>
  <si>
    <t>P12429_ANXA3</t>
  </si>
  <si>
    <t>P12814-2_ACTN1</t>
  </si>
  <si>
    <t>P12821-2_ACE</t>
  </si>
  <si>
    <t>P12830_CDH1</t>
  </si>
  <si>
    <t>P12955-3_PEPD</t>
  </si>
  <si>
    <t>P13489_RNH1</t>
  </si>
  <si>
    <t>P13639_EEF2</t>
  </si>
  <si>
    <t>P13667_PDIA4</t>
  </si>
  <si>
    <t>P13671_C6</t>
  </si>
  <si>
    <t>P13686_ACP5</t>
  </si>
  <si>
    <t>P13693_TPT1</t>
  </si>
  <si>
    <t>P13716_ALAD</t>
  </si>
  <si>
    <t>P13796_LCP1</t>
  </si>
  <si>
    <t>P13798_APEH</t>
  </si>
  <si>
    <t>P13861-2_PRKAR2A</t>
  </si>
  <si>
    <t>P13987_CD59</t>
  </si>
  <si>
    <t>P14174_MIF</t>
  </si>
  <si>
    <t>P14314-2_PRKCSH</t>
  </si>
  <si>
    <t>P14324-2_FDPS</t>
  </si>
  <si>
    <t>P14384_CPM</t>
  </si>
  <si>
    <t>P14543-2_NID1</t>
  </si>
  <si>
    <t>P14550_AKR1A1</t>
  </si>
  <si>
    <t>P14555_PLA2G2A</t>
  </si>
  <si>
    <t>P14618_PKM</t>
  </si>
  <si>
    <t>P14625_HSP90B1</t>
  </si>
  <si>
    <t>P14778_IL1R1</t>
  </si>
  <si>
    <t>P14780_MMP9</t>
  </si>
  <si>
    <t>P14923_JUP</t>
  </si>
  <si>
    <t>P15121_AKR1B1</t>
  </si>
  <si>
    <t>P15144_ANPEP</t>
  </si>
  <si>
    <t>P15151-3_PVR</t>
  </si>
  <si>
    <t>P15170_GSPT1</t>
  </si>
  <si>
    <t>P15289_ARSA</t>
  </si>
  <si>
    <t>P15291-2_B4GALT1</t>
  </si>
  <si>
    <t>P15309_ACPP</t>
  </si>
  <si>
    <t>P15311_EZR</t>
  </si>
  <si>
    <t>P15328_FOLR1</t>
  </si>
  <si>
    <t>P15586-2_GNS</t>
  </si>
  <si>
    <t>P15692-5_VEGFA</t>
  </si>
  <si>
    <t>P15848_ARSB</t>
  </si>
  <si>
    <t>P15907_ST6GAL1</t>
  </si>
  <si>
    <t>P15924_DSP</t>
  </si>
  <si>
    <t>P16035_TIMP2</t>
  </si>
  <si>
    <t>P16070-15_CD44</t>
  </si>
  <si>
    <t>P16083_NQO2</t>
  </si>
  <si>
    <t>P16152_CBR1</t>
  </si>
  <si>
    <t>P16278-2_GLB1</t>
  </si>
  <si>
    <t>P16403_HIST1H1C</t>
  </si>
  <si>
    <t>P16442_ABO</t>
  </si>
  <si>
    <t>P16671-2_CD36</t>
  </si>
  <si>
    <t>P16750_GO</t>
  </si>
  <si>
    <t>P16870-2_CPE</t>
  </si>
  <si>
    <t>P16949_STMN1</t>
  </si>
  <si>
    <t>P17050_NAGA</t>
  </si>
  <si>
    <t>P17066_HSPA6</t>
  </si>
  <si>
    <t>P17174_GOT1</t>
  </si>
  <si>
    <t>P17181-2_IFNAR1</t>
  </si>
  <si>
    <t>P17213_BPI</t>
  </si>
  <si>
    <t>P17405-4_SMPD1</t>
  </si>
  <si>
    <t>P17655_CAPN2</t>
  </si>
  <si>
    <t>P17900_GM2A</t>
  </si>
  <si>
    <t>P17931_LGALS3</t>
  </si>
  <si>
    <t>P17936_IGFBP3</t>
  </si>
  <si>
    <t>P17987_TCP1</t>
  </si>
  <si>
    <t>P18065_IGFBP2</t>
  </si>
  <si>
    <t>P18206-2_VCL</t>
  </si>
  <si>
    <t>P18428_LBP</t>
  </si>
  <si>
    <t>P18510-4_IL1RN</t>
  </si>
  <si>
    <t>P18621-2_RPL17</t>
  </si>
  <si>
    <t>P18669_PGAM1</t>
  </si>
  <si>
    <t>P18887_XRCC1</t>
  </si>
  <si>
    <t>P19021-2_PAM</t>
  </si>
  <si>
    <t>P19105_MYL12A</t>
  </si>
  <si>
    <t>P19438-5_TNFRSF1A</t>
  </si>
  <si>
    <t>P19440_GGT1</t>
  </si>
  <si>
    <t>P19623_SRM</t>
  </si>
  <si>
    <t>P19652_ORM2</t>
  </si>
  <si>
    <t>P19801_AOC1</t>
  </si>
  <si>
    <t>P19827_ITIH1</t>
  </si>
  <si>
    <t>P19835_CEL</t>
  </si>
  <si>
    <t>P19883-2_FST</t>
  </si>
  <si>
    <t>P19971_TYMP</t>
  </si>
  <si>
    <t>P20061_TCN1</t>
  </si>
  <si>
    <t>P20073-2_ANXA7</t>
  </si>
  <si>
    <t>P20142_PGC</t>
  </si>
  <si>
    <t>P20151-2_KLK2</t>
  </si>
  <si>
    <t>P20155_SPINK2</t>
  </si>
  <si>
    <t>P20160_AZU1</t>
  </si>
  <si>
    <t>P20618_PSMB1</t>
  </si>
  <si>
    <t>P20700_LMNB1</t>
  </si>
  <si>
    <t>P20810-3_CAST</t>
  </si>
  <si>
    <t>P20827_EFNA1</t>
  </si>
  <si>
    <t>P20849-3_COL9A1</t>
  </si>
  <si>
    <t>P20933_AGA</t>
  </si>
  <si>
    <t>P20962_PTMS</t>
  </si>
  <si>
    <t>P21246_PTN</t>
  </si>
  <si>
    <t>P21266_GSTM3</t>
  </si>
  <si>
    <t>P21291_CSRP1</t>
  </si>
  <si>
    <t>P21333-2_FLNA</t>
  </si>
  <si>
    <t>P21579_SYT1</t>
  </si>
  <si>
    <t>P21589-2_NT5E</t>
  </si>
  <si>
    <t>P21695-2_GPD1</t>
  </si>
  <si>
    <t>P21741_MDK</t>
  </si>
  <si>
    <t>P21964-2_COMT</t>
  </si>
  <si>
    <t>P22059_OSBP</t>
  </si>
  <si>
    <t>P22061_PCMT1</t>
  </si>
  <si>
    <t>P22079-2_LPO</t>
  </si>
  <si>
    <t>P22304_IDS</t>
  </si>
  <si>
    <t>P22314-2_UBA1</t>
  </si>
  <si>
    <t>P22352_GPX3</t>
  </si>
  <si>
    <t>P22392_NME2</t>
  </si>
  <si>
    <t>P22692_IGFBP4</t>
  </si>
  <si>
    <t>P22748_CA4</t>
  </si>
  <si>
    <t>P22894_MMP8</t>
  </si>
  <si>
    <t>P22897_MRC1</t>
  </si>
  <si>
    <t>P23142_FBLN1</t>
  </si>
  <si>
    <t>P23280-3_CA6</t>
  </si>
  <si>
    <t>P23284_PPIB</t>
  </si>
  <si>
    <t>P23352_ANOS1</t>
  </si>
  <si>
    <t>P23381-2_WARS</t>
  </si>
  <si>
    <t>P23396_RPS3</t>
  </si>
  <si>
    <t>P23468_PTPRD</t>
  </si>
  <si>
    <t>P23470-2_PTPRG</t>
  </si>
  <si>
    <t>P23526-2_AHCY</t>
  </si>
  <si>
    <t>P23528_CFL1</t>
  </si>
  <si>
    <t>P23588_EIF4B</t>
  </si>
  <si>
    <t>P24158_PRTN3</t>
  </si>
  <si>
    <t>P24592_IGFBP6</t>
  </si>
  <si>
    <t>P24593_IGFBP5</t>
  </si>
  <si>
    <t>P24666-4_ACP1</t>
  </si>
  <si>
    <t>P24821-6_TNC</t>
  </si>
  <si>
    <t>P24855_DNASE1</t>
  </si>
  <si>
    <t>P25311_AZGP1</t>
  </si>
  <si>
    <t>P25398_RPS12</t>
  </si>
  <si>
    <t>P25686-2_DNAJB2</t>
  </si>
  <si>
    <t>P25774_CTSS</t>
  </si>
  <si>
    <t>P25786_PSMA1</t>
  </si>
  <si>
    <t>P25787_PSMA2</t>
  </si>
  <si>
    <t>P25788-2_PSMA3</t>
  </si>
  <si>
    <t>P25789_PSMA4</t>
  </si>
  <si>
    <t>P25815_S100P</t>
  </si>
  <si>
    <t>P26038_MSN</t>
  </si>
  <si>
    <t>P26373_RPL13</t>
  </si>
  <si>
    <t>P26447_S100A4</t>
  </si>
  <si>
    <t>P26572_MGAT1</t>
  </si>
  <si>
    <t>P26641_EEF1G</t>
  </si>
  <si>
    <t>P26885_FKBP2</t>
  </si>
  <si>
    <t>P27169_PON1</t>
  </si>
  <si>
    <t>P27216_ANXA13</t>
  </si>
  <si>
    <t>P27469_G0S2</t>
  </si>
  <si>
    <t>P27487_DPP4</t>
  </si>
  <si>
    <t>P27658_COL8A1</t>
  </si>
  <si>
    <t>P27797_CALR</t>
  </si>
  <si>
    <t>P27824-3_CANX</t>
  </si>
  <si>
    <t>P28062-2_PSMB8</t>
  </si>
  <si>
    <t>P28065-2_PSMB9</t>
  </si>
  <si>
    <t>P28066_PSMA5</t>
  </si>
  <si>
    <t>P28070_PSMB4</t>
  </si>
  <si>
    <t>P28072_PSMB6</t>
  </si>
  <si>
    <t>P28290-2_SSFA2</t>
  </si>
  <si>
    <t>P28799_GRN</t>
  </si>
  <si>
    <t>P28827_PTPRM</t>
  </si>
  <si>
    <t>P28838-2_LAP3</t>
  </si>
  <si>
    <t>P28907_CD38</t>
  </si>
  <si>
    <t>P29218_IMPA1</t>
  </si>
  <si>
    <t>P29401_TKT</t>
  </si>
  <si>
    <t>P29622_SERPINA4</t>
  </si>
  <si>
    <t>P29692-3_EEF1D</t>
  </si>
  <si>
    <t>P30040_ERP29</t>
  </si>
  <si>
    <t>P30041_PRDX6</t>
  </si>
  <si>
    <t>P30043_BLVRB</t>
  </si>
  <si>
    <t>P30044-2_PRDX5</t>
  </si>
  <si>
    <t>P30046-2_DDT</t>
  </si>
  <si>
    <t>P30048-2_PRDX3</t>
  </si>
  <si>
    <t>P30085_CMPK1</t>
  </si>
  <si>
    <t>P30086_PEBP1</t>
  </si>
  <si>
    <t>P30101_PDIA3</t>
  </si>
  <si>
    <t>P30419-2_NMT1</t>
  </si>
  <si>
    <t>P30492_HLA-B</t>
  </si>
  <si>
    <t>P30520_ADSS</t>
  </si>
  <si>
    <t>P30533_LRPAP1</t>
  </si>
  <si>
    <t>P30622-2_CLIP1</t>
  </si>
  <si>
    <t>P30626-3_SRI</t>
  </si>
  <si>
    <t>P30740_SERPINB1</t>
  </si>
  <si>
    <t>P31025_LCN1</t>
  </si>
  <si>
    <t>P31146_CORO1A</t>
  </si>
  <si>
    <t>P31151_S100A7</t>
  </si>
  <si>
    <t>P31153_MAT2A</t>
  </si>
  <si>
    <t>P31431-2_SDC4</t>
  </si>
  <si>
    <t>P31939-2_ATIC</t>
  </si>
  <si>
    <t>P31942-6_HNRNPH3</t>
  </si>
  <si>
    <t>P31944_CASP14</t>
  </si>
  <si>
    <t>P31946-2_YWHAB</t>
  </si>
  <si>
    <t>P31947-2_SFN</t>
  </si>
  <si>
    <t>P31948_STIP1</t>
  </si>
  <si>
    <t>P31949_S100A11</t>
  </si>
  <si>
    <t>P32119_PRDX2</t>
  </si>
  <si>
    <t>P32321_DCTD</t>
  </si>
  <si>
    <t>P33176_KIF5B</t>
  </si>
  <si>
    <t>P33240-2_CSTF2</t>
  </si>
  <si>
    <t>P34059_GALNS</t>
  </si>
  <si>
    <t>P34096_RNASE4</t>
  </si>
  <si>
    <t>P34913-3_EPHX2</t>
  </si>
  <si>
    <t>P34932_HSPA4</t>
  </si>
  <si>
    <t>P35052_GPC1</t>
  </si>
  <si>
    <t>P35237_SERPINB6</t>
  </si>
  <si>
    <t>P35241_RDX</t>
  </si>
  <si>
    <t>P35270_SPR</t>
  </si>
  <si>
    <t>P35398-4_RORA</t>
  </si>
  <si>
    <t>P35443_THBS4</t>
  </si>
  <si>
    <t>P35475_IDUA</t>
  </si>
  <si>
    <t>P35579_MYH9</t>
  </si>
  <si>
    <t>P35580_MYH10</t>
  </si>
  <si>
    <t>P35625_TIMP3</t>
  </si>
  <si>
    <t>P35754_GLRX</t>
  </si>
  <si>
    <t>P35813_PPM1A</t>
  </si>
  <si>
    <t>P35858_IGFALS</t>
  </si>
  <si>
    <t>P35998_PSMC2</t>
  </si>
  <si>
    <t>P36578_RPL4</t>
  </si>
  <si>
    <t>P36871-3_PGM1</t>
  </si>
  <si>
    <t>P36896-5_ACVR1B</t>
  </si>
  <si>
    <t>P36952-2_SERPINB5</t>
  </si>
  <si>
    <t>P36955_SERPINF1</t>
  </si>
  <si>
    <t>P36959_GMPR</t>
  </si>
  <si>
    <t>P36980-2_CFHR2</t>
  </si>
  <si>
    <t>P37108_SRP14</t>
  </si>
  <si>
    <t>P37802_TAGLN2</t>
  </si>
  <si>
    <t>P37837_TALDO1</t>
  </si>
  <si>
    <t>P39060-2_COL18A1</t>
  </si>
  <si>
    <t>P40121-2_CAPG</t>
  </si>
  <si>
    <t>P40189_IL6ST</t>
  </si>
  <si>
    <t>P40227-2_CCT6A</t>
  </si>
  <si>
    <t>P40925_MDH1</t>
  </si>
  <si>
    <t>P40926-2_MDH2</t>
  </si>
  <si>
    <t>P41091_EIF2S3</t>
  </si>
  <si>
    <t>P41218_MNDA</t>
  </si>
  <si>
    <t>P41222_PTGDS</t>
  </si>
  <si>
    <t>P42330-2_AKR1C3</t>
  </si>
  <si>
    <t>P42566-2_EPS15</t>
  </si>
  <si>
    <t>P42702_LIFR</t>
  </si>
  <si>
    <t>P42766_RPL35</t>
  </si>
  <si>
    <t>P42785_PRCP</t>
  </si>
  <si>
    <t>P43251-4_BTD</t>
  </si>
  <si>
    <t>P43490_NAMPT</t>
  </si>
  <si>
    <t>P43652_AFM</t>
  </si>
  <si>
    <t>P45877_PPIC</t>
  </si>
  <si>
    <t>P46108-2_CRK</t>
  </si>
  <si>
    <t>P46109_CRKL</t>
  </si>
  <si>
    <t>P46459-2_NSF</t>
  </si>
  <si>
    <t>P46783_RPS10</t>
  </si>
  <si>
    <t>P46926_GNPDA1</t>
  </si>
  <si>
    <t>P46940_IQGAP1</t>
  </si>
  <si>
    <t>P46976-3_GYG1</t>
  </si>
  <si>
    <t>P47710-4_CSN1S1</t>
  </si>
  <si>
    <t>P47755_CAPZA2</t>
  </si>
  <si>
    <t>P47756-2_CAPZB</t>
  </si>
  <si>
    <t>P47895_ALDH1A3</t>
  </si>
  <si>
    <t>P47914_RPL29</t>
  </si>
  <si>
    <t>P47929_LGALS7</t>
  </si>
  <si>
    <t>P47972_NPTX2</t>
  </si>
  <si>
    <t>P47989_XDH</t>
  </si>
  <si>
    <t>P48059_LIMS1</t>
  </si>
  <si>
    <t>P48307-2_TFPI2</t>
  </si>
  <si>
    <t>P48594_SERPINB4</t>
  </si>
  <si>
    <t>P48634-4_PRRC2A</t>
  </si>
  <si>
    <t>P48637_GSS</t>
  </si>
  <si>
    <t>P48723_HSPA13</t>
  </si>
  <si>
    <t>P48745_NOV</t>
  </si>
  <si>
    <t>P49189-2_ALDH9A1</t>
  </si>
  <si>
    <t>P49221_TGM4</t>
  </si>
  <si>
    <t>P49223_SPINT3</t>
  </si>
  <si>
    <t>P49327_FASN</t>
  </si>
  <si>
    <t>P49354-2_FNTA</t>
  </si>
  <si>
    <t>P49368-2_CCT3</t>
  </si>
  <si>
    <t>P49419-2_ALDH7A1</t>
  </si>
  <si>
    <t>P49591_SARS</t>
  </si>
  <si>
    <t>P49755_TMED10</t>
  </si>
  <si>
    <t>P49765-2_VEGFB</t>
  </si>
  <si>
    <t>P49773_HINT1</t>
  </si>
  <si>
    <t>P49788-2_RARRES1</t>
  </si>
  <si>
    <t>P49908_SELENOP</t>
  </si>
  <si>
    <t>P50281_MMP14</t>
  </si>
  <si>
    <t>P50395_GDI2</t>
  </si>
  <si>
    <t>P50502_ST13</t>
  </si>
  <si>
    <t>P50552_VASP</t>
  </si>
  <si>
    <t>P50570-5_DNM2</t>
  </si>
  <si>
    <t>P50591_TNFSF10</t>
  </si>
  <si>
    <t>P50895_BCAM</t>
  </si>
  <si>
    <t>P50897_PPT1</t>
  </si>
  <si>
    <t>P50990-2_CCT8</t>
  </si>
  <si>
    <t>P50991-2_CCT4</t>
  </si>
  <si>
    <t>P50995-2_ANXA11</t>
  </si>
  <si>
    <t>P51148_RAB5C</t>
  </si>
  <si>
    <t>P51149_RAB7A</t>
  </si>
  <si>
    <t>P51159-2_RAB27A</t>
  </si>
  <si>
    <t>P51452-2_DUSP3</t>
  </si>
  <si>
    <t>P51511_MMP15</t>
  </si>
  <si>
    <t>P51688_SGSH</t>
  </si>
  <si>
    <t>P51815_ZNF75D</t>
  </si>
  <si>
    <t>P52209-2_PGD</t>
  </si>
  <si>
    <t>P52565_ARHGDIA</t>
  </si>
  <si>
    <t>P52566_ARHGDIB</t>
  </si>
  <si>
    <t>P52758_RIDA</t>
  </si>
  <si>
    <t>P52788_SMS</t>
  </si>
  <si>
    <t>P52799_EFNB2</t>
  </si>
  <si>
    <t>P52823-2_STC1</t>
  </si>
  <si>
    <t>P52907_CAPZA1</t>
  </si>
  <si>
    <t>P52943_CRIP2</t>
  </si>
  <si>
    <t>P53004_BLVRA</t>
  </si>
  <si>
    <t>P53367_ARFIP1</t>
  </si>
  <si>
    <t>P53396-2_ACLY</t>
  </si>
  <si>
    <t>P53634_CTSC</t>
  </si>
  <si>
    <t>P53801_PTTG1IP</t>
  </si>
  <si>
    <t>P54107_CRISP1</t>
  </si>
  <si>
    <t>P54108_CRISP3</t>
  </si>
  <si>
    <t>P54289-4_CACNA2D1</t>
  </si>
  <si>
    <t>P54578-2_USP14</t>
  </si>
  <si>
    <t>P54725-2_RAD23A</t>
  </si>
  <si>
    <t>P54727_RAD23B</t>
  </si>
  <si>
    <t>P54756-2_EPHA5</t>
  </si>
  <si>
    <t>P54760-4_EPHB4</t>
  </si>
  <si>
    <t>P54802_NAGLU</t>
  </si>
  <si>
    <t>P54819-3_AK2</t>
  </si>
  <si>
    <t>P54826_GAS1</t>
  </si>
  <si>
    <t>P54920_NAPA</t>
  </si>
  <si>
    <t>P55036-2_PSMD4</t>
  </si>
  <si>
    <t>P55058-3_PLTP</t>
  </si>
  <si>
    <t>P55072_VCP</t>
  </si>
  <si>
    <t>P55145_MANF</t>
  </si>
  <si>
    <t>P55209-3_NAP1L1</t>
  </si>
  <si>
    <t>P55259-3_GP2</t>
  </si>
  <si>
    <t>P55268_LAMB2</t>
  </si>
  <si>
    <t>P55327-2_TPD52</t>
  </si>
  <si>
    <t>P55786_NPEPPS</t>
  </si>
  <si>
    <t>P55957_BID</t>
  </si>
  <si>
    <t>P56851_EDDM3B</t>
  </si>
  <si>
    <t>P58499_FAM3B</t>
  </si>
  <si>
    <t>P58546_MTPN</t>
  </si>
  <si>
    <t>P59666_DEFA3</t>
  </si>
  <si>
    <t>P59861_DEFB131</t>
  </si>
  <si>
    <t>P59998-4_ARPC4</t>
  </si>
  <si>
    <t>P60022_DEFB1</t>
  </si>
  <si>
    <t>P60028_GDI1</t>
  </si>
  <si>
    <t>P60174-1_TPI1</t>
  </si>
  <si>
    <t>P60660-2_MYL6</t>
  </si>
  <si>
    <t>P60842_EIF4A1</t>
  </si>
  <si>
    <t>P60900_PSMA6</t>
  </si>
  <si>
    <t>P60903_S100A10</t>
  </si>
  <si>
    <t>P60953-1_CDC42</t>
  </si>
  <si>
    <t>P61020_RAB5B</t>
  </si>
  <si>
    <t>P61088_UBE2N</t>
  </si>
  <si>
    <t>P61163_ACTR1A</t>
  </si>
  <si>
    <t>P61457_PCBD1</t>
  </si>
  <si>
    <t>P61604_HSPE1</t>
  </si>
  <si>
    <t>P61626_LYZ</t>
  </si>
  <si>
    <t>P61769_B2M</t>
  </si>
  <si>
    <t>P61916_NPC2</t>
  </si>
  <si>
    <t>P61923-5_COPZ1</t>
  </si>
  <si>
    <t>P61956-2_SUMO2</t>
  </si>
  <si>
    <t>P61960_UFM1</t>
  </si>
  <si>
    <t>P61970_NUTF2</t>
  </si>
  <si>
    <t>P61981_YWHAG</t>
  </si>
  <si>
    <t>P62195-2_PSMC5</t>
  </si>
  <si>
    <t>P62249_RPS16</t>
  </si>
  <si>
    <t>P62258_YWHAE</t>
  </si>
  <si>
    <t>P62263_RPS14</t>
  </si>
  <si>
    <t>P62280_RPS11</t>
  </si>
  <si>
    <t>P62310_LSM3</t>
  </si>
  <si>
    <t>P62328_TMSB4X</t>
  </si>
  <si>
    <t>P62491-2_RAB11A</t>
  </si>
  <si>
    <t>P62495-2_ETF1</t>
  </si>
  <si>
    <t>P62633-2_CNBP</t>
  </si>
  <si>
    <t>P62805_HIST1H4A</t>
  </si>
  <si>
    <t>P62820-3_RAB1A</t>
  </si>
  <si>
    <t>P62857_RPS28</t>
  </si>
  <si>
    <t>P62861_FAU</t>
  </si>
  <si>
    <t>P62888_RPL30</t>
  </si>
  <si>
    <t>P62913-2_RPL11</t>
  </si>
  <si>
    <t>P62937_PPIA</t>
  </si>
  <si>
    <t>P62942_FKBP1A</t>
  </si>
  <si>
    <t>P62987_UBA52</t>
  </si>
  <si>
    <t>P63000_RAC1</t>
  </si>
  <si>
    <t>P63010-3_AP2B1</t>
  </si>
  <si>
    <t>P63104_YWHAZ</t>
  </si>
  <si>
    <t>P63173_RPL38</t>
  </si>
  <si>
    <t>P63208_SKP1</t>
  </si>
  <si>
    <t>P63220_RPS21</t>
  </si>
  <si>
    <t>P63241_EIF5A</t>
  </si>
  <si>
    <t>P63244_RACK1</t>
  </si>
  <si>
    <t>P63261_ACTG1</t>
  </si>
  <si>
    <t>P63267_ACTG2</t>
  </si>
  <si>
    <t>P67809_YBX1</t>
  </si>
  <si>
    <t>P67936-2_TPM4</t>
  </si>
  <si>
    <t>P68366-2_TUBA4A</t>
  </si>
  <si>
    <t>P68402-3_PAFAH1B2</t>
  </si>
  <si>
    <t>P68871_HBB</t>
  </si>
  <si>
    <t>P78371-2_CCT2</t>
  </si>
  <si>
    <t>P78417_GSTO1</t>
  </si>
  <si>
    <t>P78537-2_BLOC1S1</t>
  </si>
  <si>
    <t>P78539-4_SRPX</t>
  </si>
  <si>
    <t>P80162_CXCL6</t>
  </si>
  <si>
    <t>P80188_LCN2</t>
  </si>
  <si>
    <t>P80303_NUCB2</t>
  </si>
  <si>
    <t>P80511_S100A12</t>
  </si>
  <si>
    <t>P80723_BASP1</t>
  </si>
  <si>
    <t>P81605_DCD</t>
  </si>
  <si>
    <t>P81605-2_DCD</t>
  </si>
  <si>
    <t>P83731_RPL24</t>
  </si>
  <si>
    <t>P98095_FBLN2</t>
  </si>
  <si>
    <t>P98160_HSPG2</t>
  </si>
  <si>
    <t>P98172_EFNB1</t>
  </si>
  <si>
    <t>Q00688_FKBP3</t>
  </si>
  <si>
    <t>Q00796_SORD</t>
  </si>
  <si>
    <t>Q01082_SPTBN1</t>
  </si>
  <si>
    <t>Q01459_CTBS</t>
  </si>
  <si>
    <t>Q01469_FABP5</t>
  </si>
  <si>
    <t>Q01518-2_CAP1</t>
  </si>
  <si>
    <t>Q01638-2_IL1RL1</t>
  </si>
  <si>
    <t>Q01974_ROR2</t>
  </si>
  <si>
    <t>Q02083-2_NAAA</t>
  </si>
  <si>
    <t>Q02383_SEMG2</t>
  </si>
  <si>
    <t>Q02413_DSG1</t>
  </si>
  <si>
    <t>Q02487-2_DSC2</t>
  </si>
  <si>
    <t>Q02790_FKBP4</t>
  </si>
  <si>
    <t>Q02809_PLOD1</t>
  </si>
  <si>
    <t>Q02818_NUCB1</t>
  </si>
  <si>
    <t>Q02878_RPL6</t>
  </si>
  <si>
    <t>Q03167-2_TGFBR3</t>
  </si>
  <si>
    <t>Q03393_PTS</t>
  </si>
  <si>
    <t>Q03405-2_PLAUR</t>
  </si>
  <si>
    <t>Q03591_CFHR1</t>
  </si>
  <si>
    <t>Q04609-6_FOLH1</t>
  </si>
  <si>
    <t>Q04637-6_EIF4G1</t>
  </si>
  <si>
    <t>Q04756_HGFAC</t>
  </si>
  <si>
    <t>Q04760-2_GLO1</t>
  </si>
  <si>
    <t>Q04771_ACVR1</t>
  </si>
  <si>
    <t>Q04917_YWHAH</t>
  </si>
  <si>
    <t>Q05397-6_PTK2</t>
  </si>
  <si>
    <t>Q06210-2_GFPT1</t>
  </si>
  <si>
    <t>Q06323-3_PSME1</t>
  </si>
  <si>
    <t>Q06481-4_APLP2</t>
  </si>
  <si>
    <t>Q06828_FMOD</t>
  </si>
  <si>
    <t>Q06830_PRDX1</t>
  </si>
  <si>
    <t>Q07020-2_RPL18</t>
  </si>
  <si>
    <t>Q07654_TFF3</t>
  </si>
  <si>
    <t>Q07812-5_BAX</t>
  </si>
  <si>
    <t>Q08174_PCDH1</t>
  </si>
  <si>
    <t>Q08209-4_PPP3CA</t>
  </si>
  <si>
    <t>Q08257-3_CRYZ</t>
  </si>
  <si>
    <t>Q08345-2_DDR1</t>
  </si>
  <si>
    <t>Q08378-4_GOLGA3</t>
  </si>
  <si>
    <t>Q08380_LGALS3BP</t>
  </si>
  <si>
    <t>Q08554-2_DSC1</t>
  </si>
  <si>
    <t>Q08629_SPOCK1</t>
  </si>
  <si>
    <t>Q09666_AHNAK</t>
  </si>
  <si>
    <t>Q10469_MGAT2</t>
  </si>
  <si>
    <t>Q10471_GALNT2</t>
  </si>
  <si>
    <t>Q10472_GALNT1</t>
  </si>
  <si>
    <t>Q10567-3_AP1B1</t>
  </si>
  <si>
    <t>Q12792-4_TWF1</t>
  </si>
  <si>
    <t>Q12805-2_EFEMP1</t>
  </si>
  <si>
    <t>Q12841_FSTL1</t>
  </si>
  <si>
    <t>Q12866_MERTK</t>
  </si>
  <si>
    <t>Q12882-2_DPYD</t>
  </si>
  <si>
    <t>Q12907_LMAN2</t>
  </si>
  <si>
    <t>Q12913-2_PTPRJ</t>
  </si>
  <si>
    <t>Q12965_MYO1E</t>
  </si>
  <si>
    <t>Q13045-2_FLII</t>
  </si>
  <si>
    <t>Q13126-7_MTAP</t>
  </si>
  <si>
    <t>Q13162_PRDX4</t>
  </si>
  <si>
    <t>Q13214-2_SEMA3B</t>
  </si>
  <si>
    <t>Q13217_DNAJC3</t>
  </si>
  <si>
    <t>Q13228_SELENBP1</t>
  </si>
  <si>
    <t>Q13231-2_CHIT1</t>
  </si>
  <si>
    <t>Q13232_NME3</t>
  </si>
  <si>
    <t>Q13237-2_PRKG2</t>
  </si>
  <si>
    <t>Q13275_SEMA3F</t>
  </si>
  <si>
    <t>Q13308-5_PTK7</t>
  </si>
  <si>
    <t>Q13332-6_PTPRS</t>
  </si>
  <si>
    <t>Q13404_UBE2V1</t>
  </si>
  <si>
    <t>Q13421_MSLN</t>
  </si>
  <si>
    <t>Q13421-4_MSLN</t>
  </si>
  <si>
    <t>Q13438_OS9</t>
  </si>
  <si>
    <t>Q13442_PDAP1</t>
  </si>
  <si>
    <t>Q13443-2_ADAM9</t>
  </si>
  <si>
    <t>Q13444-10_ADAM15</t>
  </si>
  <si>
    <t>Q13449_LSAMP</t>
  </si>
  <si>
    <t>Q13510_ASAH1</t>
  </si>
  <si>
    <t>Q13561_DCTN2</t>
  </si>
  <si>
    <t>Q13740-2_ALCAM</t>
  </si>
  <si>
    <t>Q13813-3_SPTAN1</t>
  </si>
  <si>
    <t>Q13938-3_CAPS</t>
  </si>
  <si>
    <t>Q14005-4_IL16</t>
  </si>
  <si>
    <t>Q14008-2_CKAP5</t>
  </si>
  <si>
    <t>Q14019_COTL1</t>
  </si>
  <si>
    <t>Q14055_COL9A2</t>
  </si>
  <si>
    <t>Q14112-2_NID2</t>
  </si>
  <si>
    <t>Q14118_DAG1</t>
  </si>
  <si>
    <t>Q14126_DSG2</t>
  </si>
  <si>
    <t>Q14195_DPYSL3</t>
  </si>
  <si>
    <t>Q14240_EIF4A2</t>
  </si>
  <si>
    <t>Q14247-3_CTTN</t>
  </si>
  <si>
    <t>Q14314_FGL2</t>
  </si>
  <si>
    <t>Q14393-3_GAS6</t>
  </si>
  <si>
    <t>Q14507_EDDM3A</t>
  </si>
  <si>
    <t>Q14508_WFDC2</t>
  </si>
  <si>
    <t>Q14515-2_SPARCL1</t>
  </si>
  <si>
    <t>Q14574-2_DSC3</t>
  </si>
  <si>
    <t>Q14624-4_ITIH4</t>
  </si>
  <si>
    <t>Q14689-3_DIP2A</t>
  </si>
  <si>
    <t>Q14697_GANAB</t>
  </si>
  <si>
    <t>Q14766-2_LTBP1</t>
  </si>
  <si>
    <t>Q14847_LASP1</t>
  </si>
  <si>
    <t>Q14914-2_PTGR1</t>
  </si>
  <si>
    <t>Q14974_KPNB1</t>
  </si>
  <si>
    <t>Q15008_PSMD6</t>
  </si>
  <si>
    <t>Q15056-2_EIF4H</t>
  </si>
  <si>
    <t>Q15075_EEA1</t>
  </si>
  <si>
    <t>Q15084-3_PDIA6</t>
  </si>
  <si>
    <t>Q15113_PCOLCE</t>
  </si>
  <si>
    <t>Q15121_PEA15</t>
  </si>
  <si>
    <t>Q15149-7_PLEC</t>
  </si>
  <si>
    <t>Q15166_PON3</t>
  </si>
  <si>
    <t>Q15185-3_PTGES3</t>
  </si>
  <si>
    <t>Q15223-3_NECTIN1</t>
  </si>
  <si>
    <t>Q15257-4_PTPA</t>
  </si>
  <si>
    <t>Q15293_RCN1</t>
  </si>
  <si>
    <t>Q15311_RALBP1</t>
  </si>
  <si>
    <t>Q15365_PCBP1</t>
  </si>
  <si>
    <t>Q15389-2_ANGPT1</t>
  </si>
  <si>
    <t>Q15404-2_RSU1</t>
  </si>
  <si>
    <t>Q15517_CDSN</t>
  </si>
  <si>
    <t>Q15631_TSN</t>
  </si>
  <si>
    <t>Q15691_MAPRE1</t>
  </si>
  <si>
    <t>Q15819_UBE2V2</t>
  </si>
  <si>
    <t>Q15828_CST6</t>
  </si>
  <si>
    <t>Q15843_NEDD8</t>
  </si>
  <si>
    <t>Q15847_ADIRF</t>
  </si>
  <si>
    <t>Q15904_ATP6AP1</t>
  </si>
  <si>
    <t>Q16204_CCDC6</t>
  </si>
  <si>
    <t>Q16270-2_IGFBP7</t>
  </si>
  <si>
    <t>Q16378_PRR4</t>
  </si>
  <si>
    <t>Q16531_DDB1</t>
  </si>
  <si>
    <t>Q16543_CDC37</t>
  </si>
  <si>
    <t>Q16568_CARTPT</t>
  </si>
  <si>
    <t>Q16610_ECM1</t>
  </si>
  <si>
    <t>Q16651_PRSS8</t>
  </si>
  <si>
    <t>Q16706_MAN2A1</t>
  </si>
  <si>
    <t>Q16769-2_QPCT</t>
  </si>
  <si>
    <t>Q16851-2_UGP2</t>
  </si>
  <si>
    <t>Q16881-7_TXNRD1</t>
  </si>
  <si>
    <t>Q16890-4_TPD52L1</t>
  </si>
  <si>
    <t>Q1W4C9_SPINK13</t>
  </si>
  <si>
    <t>Q24JP5_TMEM132A</t>
  </si>
  <si>
    <t>Q29963_HLA-C</t>
  </si>
  <si>
    <t>Q2KJY2-2_KIF26B</t>
  </si>
  <si>
    <t>Q2M2I8-2_AAK1</t>
  </si>
  <si>
    <t>Q3YEC7_RABL6</t>
  </si>
  <si>
    <t>Q495W5-2_FUT11</t>
  </si>
  <si>
    <t>Q53FA7_TP53I3</t>
  </si>
  <si>
    <t>Q53H76-4_PLA1A</t>
  </si>
  <si>
    <t>Q53RD9-4_FBLN7</t>
  </si>
  <si>
    <t>Q53T59_HS1BP3</t>
  </si>
  <si>
    <t>Q58EX2-2_SDK2</t>
  </si>
  <si>
    <t>Q5GFL6-3_VWA2</t>
  </si>
  <si>
    <t>Q5IS74_TPP1</t>
  </si>
  <si>
    <t>Q5IS80_APP</t>
  </si>
  <si>
    <t>Q5JPE7-3_NOMO2</t>
  </si>
  <si>
    <t>Q5JRA6-2_MIA3</t>
  </si>
  <si>
    <t>Q5JS37-2_NHLRC3</t>
  </si>
  <si>
    <t>Q5KU26_COLEC12</t>
  </si>
  <si>
    <t>Q5SRE7-2_PHYHD1</t>
  </si>
  <si>
    <t>Q5T749_KPRP</t>
  </si>
  <si>
    <t>Q5TDH0_DDI2</t>
  </si>
  <si>
    <t>Q5TZA2-2_CROCC</t>
  </si>
  <si>
    <t>Q5VTE0_EEF1A1P5</t>
  </si>
  <si>
    <t>Q5ZPR3-2_CD276</t>
  </si>
  <si>
    <t>Q66GS9_CEP135</t>
  </si>
  <si>
    <t>Q66K79-2_CPZ</t>
  </si>
  <si>
    <t>Q68D85_NCR3LG1</t>
  </si>
  <si>
    <t>Q6AI12_ANKRD40</t>
  </si>
  <si>
    <t>Q6DN90-2_IQSEC1</t>
  </si>
  <si>
    <t>Q6EMK4_VASN</t>
  </si>
  <si>
    <t>Q6GYQ0-3_RALGAPA1</t>
  </si>
  <si>
    <t>Q6IPM2-4_IQCE</t>
  </si>
  <si>
    <t>Q6NUS6-2_TCTN3</t>
  </si>
  <si>
    <t>Q6NW40_RGMB</t>
  </si>
  <si>
    <t>Q6NXT2_H3F3C</t>
  </si>
  <si>
    <t>Q6P4E1-2_CASC4</t>
  </si>
  <si>
    <t>Q6P531-2_GGT6</t>
  </si>
  <si>
    <t>Q6P5S2_LEG1</t>
  </si>
  <si>
    <t>Q6PCB0_VWA1</t>
  </si>
  <si>
    <t>Q6TDU7-4_CASC1</t>
  </si>
  <si>
    <t>Q6ULP2-5_AFTPH</t>
  </si>
  <si>
    <t>Q6UWP8_SBSN</t>
  </si>
  <si>
    <t>Q6UWW0_LCN15</t>
  </si>
  <si>
    <t>Q6UX06_OLFM4</t>
  </si>
  <si>
    <t>Q6UX71-2_PLXDC2</t>
  </si>
  <si>
    <t>Q6UXD5-6_SEZ6L2</t>
  </si>
  <si>
    <t>Q6UXI9_NPNT</t>
  </si>
  <si>
    <t>Q6UXK5_LRRN1</t>
  </si>
  <si>
    <t>Q6UXY1-2_BAIAP2L2</t>
  </si>
  <si>
    <t>Q6UY27_PATE2</t>
  </si>
  <si>
    <t>Q6W4X9_MUC6</t>
  </si>
  <si>
    <t>Q6WN34_CHRDL2</t>
  </si>
  <si>
    <t>Q6XQN6_NAPRT</t>
  </si>
  <si>
    <t>Q6Y7W6-4_GIGYF2</t>
  </si>
  <si>
    <t>Q6YHK3_CD109</t>
  </si>
  <si>
    <t>Q6ZMP0_THSD4</t>
  </si>
  <si>
    <t>Q6ZRQ5_MMS22L</t>
  </si>
  <si>
    <t>Q6ZSR9_</t>
  </si>
  <si>
    <t>Q6ZSS7_MFSD6</t>
  </si>
  <si>
    <t>Q6ZVM7-4_TOM1L2</t>
  </si>
  <si>
    <t>Q71U36-2_TUBA1A</t>
  </si>
  <si>
    <t>Q7L1Q6-2_BZW1</t>
  </si>
  <si>
    <t>Q7L266_ASRGL1</t>
  </si>
  <si>
    <t>Q7L3B6_CDC37L1</t>
  </si>
  <si>
    <t>Q7L5N1_COPS6</t>
  </si>
  <si>
    <t>Q7L804_RAB11FIP2</t>
  </si>
  <si>
    <t>Q7Z304_MAMDC2</t>
  </si>
  <si>
    <t>Q7Z4H3-2_HDDC2</t>
  </si>
  <si>
    <t>Q7Z4W1_DCXR</t>
  </si>
  <si>
    <t>Q7Z7H5-3_TMED4</t>
  </si>
  <si>
    <t>Q7Z7M0-2_MEGF8</t>
  </si>
  <si>
    <t>Q80910_E2</t>
  </si>
  <si>
    <t>Q86194_</t>
  </si>
  <si>
    <t>Q86SQ4-2_ADGRG6</t>
  </si>
  <si>
    <t>Q86TH1_ADAMTSL2</t>
  </si>
  <si>
    <t>Q86UD1_OAF</t>
  </si>
  <si>
    <t>Q86UN2_RTN4RL1</t>
  </si>
  <si>
    <t>Q86UP2-2_KTN1</t>
  </si>
  <si>
    <t>Q86V85_GPR180</t>
  </si>
  <si>
    <t>Q86VR7_VSIG10L</t>
  </si>
  <si>
    <t>Q86VY4_TSPYL5</t>
  </si>
  <si>
    <t>Q86VZ4_LRP11</t>
  </si>
  <si>
    <t>Q86X29-6_LSR</t>
  </si>
  <si>
    <t>Q86XR7-2_TICAM2</t>
  </si>
  <si>
    <t>Q86Y38_XYLT1</t>
  </si>
  <si>
    <t>Q86Y82_STX12</t>
  </si>
  <si>
    <t>Q8IV08_PLD3</t>
  </si>
  <si>
    <t>Q8IVN8_SBSPON</t>
  </si>
  <si>
    <t>Q8IW75_SERPINA12</t>
  </si>
  <si>
    <t>Q8IYB5-3_SMAP1</t>
  </si>
  <si>
    <t>Q8IYJ3_SYTL1</t>
  </si>
  <si>
    <t>Q8IZA0-2_KIAA0319L</t>
  </si>
  <si>
    <t>Q8IZJ3-2_CPAMD8</t>
  </si>
  <si>
    <t>Q8IZP9-10_ADGRG2</t>
  </si>
  <si>
    <t>Q8N0X7_SPG20</t>
  </si>
  <si>
    <t>Q8N114-2_SHISA5</t>
  </si>
  <si>
    <t>Q8N264-5_ARHGAP24</t>
  </si>
  <si>
    <t>Q8N2S1-2_LTBP4</t>
  </si>
  <si>
    <t>Q8N335_GPD1L</t>
  </si>
  <si>
    <t>Q8N3T6_TMEM132C</t>
  </si>
  <si>
    <t>Q8N474_SFRP1</t>
  </si>
  <si>
    <t>Q8N4F0_BPIFB2</t>
  </si>
  <si>
    <t>Q8N4V2_SVOP</t>
  </si>
  <si>
    <t>Q8N4X5-2_AFAP1L2</t>
  </si>
  <si>
    <t>Q8N6G6_ADAMTSL1</t>
  </si>
  <si>
    <t>Q8N6Q3_CD177</t>
  </si>
  <si>
    <t>Q8NBJ4-2_GOLM1</t>
  </si>
  <si>
    <t>Q8NBL1_POGLUT1</t>
  </si>
  <si>
    <t>Q8NBS9-2_TXNDC5</t>
  </si>
  <si>
    <t>Q8NCC3_PLA2G15</t>
  </si>
  <si>
    <t>Q8NCH0_CHST14</t>
  </si>
  <si>
    <t>Q8NCL4_GALNT6</t>
  </si>
  <si>
    <t>Q8NFT8_DNER</t>
  </si>
  <si>
    <t>Q8NFZ8_CADM4</t>
  </si>
  <si>
    <t>Q8NHP8-2_PLBD2</t>
  </si>
  <si>
    <t>Q8QPI8_NS</t>
  </si>
  <si>
    <t>Q8TB96_ITFG1</t>
  </si>
  <si>
    <t>Q8TBX8-2_PIP4K2C</t>
  </si>
  <si>
    <t>Q8TD19_NEK9</t>
  </si>
  <si>
    <t>Q8TE56_ADAMTS17</t>
  </si>
  <si>
    <t>Q8TE68-4_EPS8L1</t>
  </si>
  <si>
    <t>Q8TE73_DNAH5</t>
  </si>
  <si>
    <t>Q8TE96-2_DQX1</t>
  </si>
  <si>
    <t>Q8TEA8_DTD1</t>
  </si>
  <si>
    <t>Q8TED9-4_AFAP1L1</t>
  </si>
  <si>
    <t>Q8TER0-5_SNED1</t>
  </si>
  <si>
    <t>Q8TF72_SHROOM3</t>
  </si>
  <si>
    <t>Q8TF74_WIPF2</t>
  </si>
  <si>
    <t>Q8WUD1-2_RAB2B</t>
  </si>
  <si>
    <t>Q8WUM4_PDCD6IP</t>
  </si>
  <si>
    <t>Q8WUW1_BRK1</t>
  </si>
  <si>
    <t>Q8WVQ1-3_CANT1</t>
  </si>
  <si>
    <t>Q8WWX9_SELENOM</t>
  </si>
  <si>
    <t>Q8WWY7_WFDC12</t>
  </si>
  <si>
    <t>Q8WX77_IGFBPL1</t>
  </si>
  <si>
    <t>Q8WXA2_PATE1</t>
  </si>
  <si>
    <t>Q8WXH0-7_SYNE2</t>
  </si>
  <si>
    <t>Q8WZ42-6_TTN</t>
  </si>
  <si>
    <t>Q8WZA0_LZIC</t>
  </si>
  <si>
    <t>Q8WZA9_IRGQ</t>
  </si>
  <si>
    <t>Q92484-2_SMPDL3A</t>
  </si>
  <si>
    <t>Q92485-2_SMPDL3B</t>
  </si>
  <si>
    <t>Q92520_FAM3C</t>
  </si>
  <si>
    <t>Q92542-2_NCSTN</t>
  </si>
  <si>
    <t>Q92552_MRPS27</t>
  </si>
  <si>
    <t>Q92597-3_NDRG1</t>
  </si>
  <si>
    <t>Q92598-2_HSPH1</t>
  </si>
  <si>
    <t>Q92626-2_PXDN</t>
  </si>
  <si>
    <t>Q92673_SORL1</t>
  </si>
  <si>
    <t>Q92692-2_NECTIN2</t>
  </si>
  <si>
    <t>Q92729-3_PTPRU</t>
  </si>
  <si>
    <t>Q92743_HTRA1</t>
  </si>
  <si>
    <t>Q92793-2_CREBBP</t>
  </si>
  <si>
    <t>Q92823-3_NRCAM</t>
  </si>
  <si>
    <t>Q92832-2_NELL1</t>
  </si>
  <si>
    <t>Q92838-9_EDA</t>
  </si>
  <si>
    <t>Q92859-3_NEO1</t>
  </si>
  <si>
    <t>Q92896_GLG1</t>
  </si>
  <si>
    <t>Q92956_TNFRSF14</t>
  </si>
  <si>
    <t>Q92995-2_USP13</t>
  </si>
  <si>
    <t>Q93052_LPP</t>
  </si>
  <si>
    <t>Q93099_HGD</t>
  </si>
  <si>
    <t>Q969H8_MYDGF</t>
  </si>
  <si>
    <t>Q96AE7-2_TTC17</t>
  </si>
  <si>
    <t>Q96AQ6-2_PBXIP1</t>
  </si>
  <si>
    <t>Q96AT9-4_RPE</t>
  </si>
  <si>
    <t>Q96BA8-2_CREB3L1</t>
  </si>
  <si>
    <t>Q96BQ1_FAM3D</t>
  </si>
  <si>
    <t>Q96C19_EFHD2</t>
  </si>
  <si>
    <t>Q96CN7_ISOC1</t>
  </si>
  <si>
    <t>Q96CT7_CCDC124</t>
  </si>
  <si>
    <t>Q96DA0_ZG16B</t>
  </si>
  <si>
    <t>Q96DD7_SHISA4</t>
  </si>
  <si>
    <t>Q96DR5_BPIFA2</t>
  </si>
  <si>
    <t>Q96DR8_MUCL1</t>
  </si>
  <si>
    <t>Q96DZ1-2_ERLEC1</t>
  </si>
  <si>
    <t>Q96EK6_GNPNAT1</t>
  </si>
  <si>
    <t>Q96EU7_C1GALT1C1</t>
  </si>
  <si>
    <t>Q96FE7-4_PIK3IP1</t>
  </si>
  <si>
    <t>Q96GW7-2_BCAN</t>
  </si>
  <si>
    <t>Q96HC4_PDLIM5</t>
  </si>
  <si>
    <t>Q96HD1_CRELD1</t>
  </si>
  <si>
    <t>Q96JA1-2_LRIG1</t>
  </si>
  <si>
    <t>Q96JB6_LOXL4</t>
  </si>
  <si>
    <t>Q96K76-4_USP47</t>
  </si>
  <si>
    <t>Q96KG7-2_MEGF10</t>
  </si>
  <si>
    <t>Q96KP4_CNDP2</t>
  </si>
  <si>
    <t>Q96KR4-2_LMLN</t>
  </si>
  <si>
    <t>Q96M27-4_PRRC1</t>
  </si>
  <si>
    <t>Q96N03_VSTM2L</t>
  </si>
  <si>
    <t>Q96NY8_NECTIN4</t>
  </si>
  <si>
    <t>Q96PD2_DCBLD2</t>
  </si>
  <si>
    <t>Q96S96_PEBP4</t>
  </si>
  <si>
    <t>Q96TA1-2_FAM129B</t>
  </si>
  <si>
    <t>Q99460-2_PSMD1</t>
  </si>
  <si>
    <t>Q99497_PARK7</t>
  </si>
  <si>
    <t>Q99519_NEU1</t>
  </si>
  <si>
    <t>Q99523_SORT1</t>
  </si>
  <si>
    <t>Q99536_VAT1</t>
  </si>
  <si>
    <t>Q99538_LGMN</t>
  </si>
  <si>
    <t>Q99574_SERPINI1</t>
  </si>
  <si>
    <t>Q99613-2_EIF3C</t>
  </si>
  <si>
    <t>Q99674_CGREF1</t>
  </si>
  <si>
    <t>Q99715-4_COL12A1</t>
  </si>
  <si>
    <t>Q99727_TIMP4</t>
  </si>
  <si>
    <t>Q99733_NAP1L4</t>
  </si>
  <si>
    <t>Q99784-5_OLFM1</t>
  </si>
  <si>
    <t>Q99832-3_CCT7</t>
  </si>
  <si>
    <t>Q99880_HIST1H2BL</t>
  </si>
  <si>
    <t>Q99961-3_SH3GL1</t>
  </si>
  <si>
    <t>Q99969_RARRES2</t>
  </si>
  <si>
    <t>Q99985_SEMA3C</t>
  </si>
  <si>
    <t>Q99988_GDF15</t>
  </si>
  <si>
    <t>Q9BPX5_ARPC5L</t>
  </si>
  <si>
    <t>Q9BQ16-7_SPOCK3</t>
  </si>
  <si>
    <t>Q9BQ16-8_SPOCK3</t>
  </si>
  <si>
    <t>Q9BQI0-3_AIF1L</t>
  </si>
  <si>
    <t>Q9BQR3_PRSS27</t>
  </si>
  <si>
    <t>Q9BQT9_CLSTN3</t>
  </si>
  <si>
    <t>Q9BR76_CORO1B</t>
  </si>
  <si>
    <t>Q9BRA2_TXNDC17</t>
  </si>
  <si>
    <t>Q9BRH9_ZNF251</t>
  </si>
  <si>
    <t>Q9BRK5-6_SDF4</t>
  </si>
  <si>
    <t>Q9BRP8-2_PYM1</t>
  </si>
  <si>
    <t>Q9BRR6-5_ADPGK</t>
  </si>
  <si>
    <t>Q9BRV8_SIKE1</t>
  </si>
  <si>
    <t>Q9BS26_ERP44</t>
  </si>
  <si>
    <t>Q9BS40_LXN</t>
  </si>
  <si>
    <t>Q9BSG0_PRADC1</t>
  </si>
  <si>
    <t>Q9BSK1-2_ZNF577</t>
  </si>
  <si>
    <t>Q9BTY2-2_FUCA2</t>
  </si>
  <si>
    <t>Q9BUD6_SPON2</t>
  </si>
  <si>
    <t>Q9BUP0_EFHD1</t>
  </si>
  <si>
    <t>Q9BUQ8_DDX23</t>
  </si>
  <si>
    <t>Q9BUT1-3_BDH2</t>
  </si>
  <si>
    <t>Q9BV57_ADI1</t>
  </si>
  <si>
    <t>Q9BVG4_PBDC1</t>
  </si>
  <si>
    <t>Q9BW04_SARG</t>
  </si>
  <si>
    <t>Q9BW91-2_NUDT9</t>
  </si>
  <si>
    <t>Q9BWD1_ACAT2</t>
  </si>
  <si>
    <t>Q9BWS9-3_CHID1</t>
  </si>
  <si>
    <t>Q9BXV9_GON7</t>
  </si>
  <si>
    <t>Q9BY43_CHMP4A</t>
  </si>
  <si>
    <t>Q9BY67-2_CADM1</t>
  </si>
  <si>
    <t>Q9BYZ8_REG4</t>
  </si>
  <si>
    <t>Q9BZR6_RTN4R</t>
  </si>
  <si>
    <t>Q9C005_DPY30</t>
  </si>
  <si>
    <t>Q9C0C2_TNKS1BP1</t>
  </si>
  <si>
    <t>Q9GZM7-3_TINAGL1</t>
  </si>
  <si>
    <t>Q9GZN4_PRSS22</t>
  </si>
  <si>
    <t>Q9GZP0-2_PDGFD</t>
  </si>
  <si>
    <t>Q9GZX9_TWSG1</t>
  </si>
  <si>
    <t>Q9GZZ8_LACRT</t>
  </si>
  <si>
    <t>Q9H008_LHPP</t>
  </si>
  <si>
    <t>Q9H074-3_PAIP1</t>
  </si>
  <si>
    <t>Q9H098_FAM107B</t>
  </si>
  <si>
    <t>Q9H0B8_CRISPLD2</t>
  </si>
  <si>
    <t>Q9H0E2_TOLLIP</t>
  </si>
  <si>
    <t>Q9H0W9-3_C11orf54</t>
  </si>
  <si>
    <t>Q9H173_SIL1</t>
  </si>
  <si>
    <t>Q9H1B5-2_XYLT2</t>
  </si>
  <si>
    <t>Q9H1E1_RNASE7</t>
  </si>
  <si>
    <t>Q9H1I8-3_ASCC2</t>
  </si>
  <si>
    <t>Q9H1U4_MEGF9</t>
  </si>
  <si>
    <t>Q9H299_SH3BGRL3</t>
  </si>
  <si>
    <t>Q9H336_CRISPLD1</t>
  </si>
  <si>
    <t>Q9H3S1_SEMA4A</t>
  </si>
  <si>
    <t>Q9H444_CHMP4B</t>
  </si>
  <si>
    <t>Q9H461_FZD8</t>
  </si>
  <si>
    <t>Q9H4A4_RNPEP</t>
  </si>
  <si>
    <t>Q9H4D0_CLSTN2</t>
  </si>
  <si>
    <t>Q9H5N1-2_RABEP2</t>
  </si>
  <si>
    <t>Q9H5V8-3_CDCP1</t>
  </si>
  <si>
    <t>Q9H6B4_CLMP</t>
  </si>
  <si>
    <t>Q9H741_C12orf49</t>
  </si>
  <si>
    <t>Q9H8J5_MANSC1</t>
  </si>
  <si>
    <t>Q9H8M7-2_MINDY3</t>
  </si>
  <si>
    <t>Q9H910_JPT2</t>
  </si>
  <si>
    <t>Q9HAT2-2_SIAE</t>
  </si>
  <si>
    <t>Q9HB40_SCPEP1</t>
  </si>
  <si>
    <t>Q9HB63-3_NTN4</t>
  </si>
  <si>
    <t>Q9HB71-3_CACYBP</t>
  </si>
  <si>
    <t>Q9HBR0_SLC38A10</t>
  </si>
  <si>
    <t>Q9HC38-2_GLOD4</t>
  </si>
  <si>
    <t>Q9HC84_MUC5B</t>
  </si>
  <si>
    <t>Q9HCE0-2_EPG5</t>
  </si>
  <si>
    <t>Q9HCU4_CELSR2</t>
  </si>
  <si>
    <t>Q9HD89_RETN</t>
  </si>
  <si>
    <t>Q9HDB5-3_NRXN3</t>
  </si>
  <si>
    <t>Q9NP61-2_ARFGAP3</t>
  </si>
  <si>
    <t>Q9NP79-2_VTA1</t>
  </si>
  <si>
    <t>Q9NP97_DYNLRB1</t>
  </si>
  <si>
    <t>Q9NPC4_A4GALT</t>
  </si>
  <si>
    <t>Q9NPF0-2_CD320</t>
  </si>
  <si>
    <t>Q9NPF2-2_CHST11</t>
  </si>
  <si>
    <t>Q9NPH0_ACP6</t>
  </si>
  <si>
    <t>Q9NPH3-3_IL1RAP</t>
  </si>
  <si>
    <t>Q9NPR2-2_SEMA4B</t>
  </si>
  <si>
    <t>Q9NQ36-3_SCUBE2</t>
  </si>
  <si>
    <t>Q9NQ38-2_SPINK5</t>
  </si>
  <si>
    <t>Q9NQ79-2_CRTAC1</t>
  </si>
  <si>
    <t>Q9NQP4_PFDN4</t>
  </si>
  <si>
    <t>Q9NQR4_NIT2</t>
  </si>
  <si>
    <t>Q9NQT8-2_KIF13B</t>
  </si>
  <si>
    <t>Q9NQW7-2_XPNPEP1</t>
  </si>
  <si>
    <t>Q9NQX3_GPHN</t>
  </si>
  <si>
    <t>Q9NQX5_NPDC1</t>
  </si>
  <si>
    <t>Q9NR34_MAN1C1</t>
  </si>
  <si>
    <t>Q9NR45_NANS</t>
  </si>
  <si>
    <t>Q9NR99_MXRA5</t>
  </si>
  <si>
    <t>Q9NRA1-4_PDGFC</t>
  </si>
  <si>
    <t>Q9NRV9_HEBP1</t>
  </si>
  <si>
    <t>Q9NRY4_ARHGAP35</t>
  </si>
  <si>
    <t>Q9NS15_LTBP3</t>
  </si>
  <si>
    <t>Q9NS68-2_TNFRSF19</t>
  </si>
  <si>
    <t>Q9NTI5-2_PDS5B</t>
  </si>
  <si>
    <t>Q9NU53_GINM1</t>
  </si>
  <si>
    <t>Q9NY33_DPP3</t>
  </si>
  <si>
    <t>Q9NYL9_TMOD3</t>
  </si>
  <si>
    <t>Q9NYT6_ZNF226</t>
  </si>
  <si>
    <t>Q9NZ08_ERAP1</t>
  </si>
  <si>
    <t>Q9NZ20_PLA2G3</t>
  </si>
  <si>
    <t>Q9NZ53_PODXL2</t>
  </si>
  <si>
    <t>Q9NZJ5_EIF2AK3</t>
  </si>
  <si>
    <t>Q9NZM1-4_MYOF</t>
  </si>
  <si>
    <t>Q9NZM3-4_ITSN2</t>
  </si>
  <si>
    <t>Q9NZP8_C1RL</t>
  </si>
  <si>
    <t>Q9NZV1_CRIM1</t>
  </si>
  <si>
    <t>Q9NZZ3_CHMP5</t>
  </si>
  <si>
    <t>Q9P0K7_RAI14</t>
  </si>
  <si>
    <t>Q9P0L0_VAPA</t>
  </si>
  <si>
    <t>Q9P0S2_COX16</t>
  </si>
  <si>
    <t>Q9P232_CNTN3</t>
  </si>
  <si>
    <t>Q9P265_DIP2B</t>
  </si>
  <si>
    <t>Q9P2E9-2_RRBP1</t>
  </si>
  <si>
    <t>Q9P2T1-3_GMPR2</t>
  </si>
  <si>
    <t>Q9UBC9_SPRR3</t>
  </si>
  <si>
    <t>Q9UBP4_DKK3</t>
  </si>
  <si>
    <t>Q9UBR2_CTSZ</t>
  </si>
  <si>
    <t>Q9UBS3_DNAJB9</t>
  </si>
  <si>
    <t>Q9UBV8_PEF1</t>
  </si>
  <si>
    <t>Q9UBW8_COPS7A</t>
  </si>
  <si>
    <t>Q9UBX1_CTSF</t>
  </si>
  <si>
    <t>Q9UBX5_FBLN5</t>
  </si>
  <si>
    <t>Q9UBX7-1_KLK11</t>
  </si>
  <si>
    <t>Q9UD71_PPP1R1B</t>
  </si>
  <si>
    <t>Q9UDY2-6_TJP2</t>
  </si>
  <si>
    <t>Q9UFH2-4_DNAH17</t>
  </si>
  <si>
    <t>Q9UGM3-9_DMBT1</t>
  </si>
  <si>
    <t>Q9UGM5-2_FETUB</t>
  </si>
  <si>
    <t>Q9UGV2-3_NDRG3</t>
  </si>
  <si>
    <t>Q9UHC6_CNTNAP2</t>
  </si>
  <si>
    <t>Q9UHG2_PCSK1N</t>
  </si>
  <si>
    <t>Q9UHI8_ADAMTS1</t>
  </si>
  <si>
    <t>Q9UHL4_DPP7</t>
  </si>
  <si>
    <t>Q9UHQ7_TCEAL9</t>
  </si>
  <si>
    <t>Q9UHV9_PFDN2</t>
  </si>
  <si>
    <t>Q9UHY7_ENOPH1</t>
  </si>
  <si>
    <t>Q9UI12-2_ATP6V1H</t>
  </si>
  <si>
    <t>Q9UJC5_SH3BGRL2</t>
  </si>
  <si>
    <t>Q9UJH8_METRN</t>
  </si>
  <si>
    <t>Q9UJJ9_GNPTG</t>
  </si>
  <si>
    <t>Q9UKK9_NUDT5</t>
  </si>
  <si>
    <t>Q9UL25_RAB21</t>
  </si>
  <si>
    <t>Q9UL46_PSME2</t>
  </si>
  <si>
    <t>Q9ULE4_FAM184B</t>
  </si>
  <si>
    <t>Q9ULH7-4_MKL2</t>
  </si>
  <si>
    <t>Q9ULL4_PLXNB3</t>
  </si>
  <si>
    <t>Q9UM22-2_EPDR1</t>
  </si>
  <si>
    <t>Q9UM54-5_MYO6</t>
  </si>
  <si>
    <t>Q9UMX0-3_UBQLN1</t>
  </si>
  <si>
    <t>Q9UMX5_NENF</t>
  </si>
  <si>
    <t>Q9UN36-2_NDRG2</t>
  </si>
  <si>
    <t>Q9UN86-2_G3BP2</t>
  </si>
  <si>
    <t>Q9UNW1_MINPP1</t>
  </si>
  <si>
    <t>Q9UNX3_RPL26L1</t>
  </si>
  <si>
    <t>Q9UNZ2_NSFL1C</t>
  </si>
  <si>
    <t>Q9UQ13-2_SHOC2</t>
  </si>
  <si>
    <t>Q9UQ80-2_PA2G4</t>
  </si>
  <si>
    <t>Q9UQB8-3_BAIAP2</t>
  </si>
  <si>
    <t>Q9Y265-2_RUVBL1</t>
  </si>
  <si>
    <t>Q9Y266_NUDC</t>
  </si>
  <si>
    <t>Q9Y295_DRG1</t>
  </si>
  <si>
    <t>Q9Y2A9_B3GNT3</t>
  </si>
  <si>
    <t>Q9Y2E5-2_MAN2B2</t>
  </si>
  <si>
    <t>Q9Y2S2-2_CRYL1</t>
  </si>
  <si>
    <t>Q9Y376_CAB39</t>
  </si>
  <si>
    <t>Q9Y3B8-2_REXO2</t>
  </si>
  <si>
    <t>Q9Y490_TLN1</t>
  </si>
  <si>
    <t>Q9Y4L1_HYOU1</t>
  </si>
  <si>
    <t>Q9Y5K6_CD2AP</t>
  </si>
  <si>
    <t>Q9Y5X3_SNX5</t>
  </si>
  <si>
    <t>Q9Y5X9_LIPG</t>
  </si>
  <si>
    <t>Q9Y5Y6_ST14</t>
  </si>
  <si>
    <t>Q9Y5Z4-2_HEBP2</t>
  </si>
  <si>
    <t>Q9Y608-2_LRRFIP2</t>
  </si>
  <si>
    <t>Q9Y624_F11R</t>
  </si>
  <si>
    <t>Q9Y646_CPQ</t>
  </si>
  <si>
    <t>Q9Y653-2_ADGRG1</t>
  </si>
  <si>
    <t>Q9Y696_CLIC4</t>
  </si>
  <si>
    <t>Q9Y6G9_DYNC1LI1</t>
  </si>
  <si>
    <t>Q9Y6I3-3_EPN1</t>
  </si>
  <si>
    <t>Q9Y6K9-3_IKBKG</t>
  </si>
  <si>
    <t>Q9Y6R7_FCGBP</t>
  </si>
  <si>
    <t>Q9Y6U3-3_SCIN</t>
  </si>
  <si>
    <t>Q9Y6W5_WASF2</t>
  </si>
  <si>
    <t>Q9Y6X5_ENPP4</t>
  </si>
  <si>
    <t>Melting_Curves/meltCurve_A0A075B6I0_IGLV8_61.pdf</t>
  </si>
  <si>
    <t>Melting_Curves/meltCurve_A0A075B6I9_IGLV7_46.pdf</t>
  </si>
  <si>
    <t>Melting_Curves/meltCurve_A0A0A0MRZ8_IGKV3D_11.pdf</t>
  </si>
  <si>
    <t>Melting_Curves/meltCurve_A0A0B4J1Y9_IGHV3_72.pdf</t>
  </si>
  <si>
    <t>Melting_Curves/meltCurve_A0A0C4DH42_IGHV3_66.pdf</t>
  </si>
  <si>
    <t>Melting_Curves/meltCurve_A0A0C4DH55_IGKV3D_7.pdf</t>
  </si>
  <si>
    <t>Melting_Curves/meltCurve_A0MZ66_8_SHTN1.pdf</t>
  </si>
  <si>
    <t>Melting_Curves/meltCurve_A2NJV5_IGKV2_29.pdf</t>
  </si>
  <si>
    <t>Melting_Curves/meltCurve_A6NGW2_STRCP1.pdf</t>
  </si>
  <si>
    <t>Melting_Curves/meltCurve_A8MW95_BECN2.pdf</t>
  </si>
  <si>
    <t>Melting_Curves/meltCurve_B2RTY4_5_MYO9A.pdf</t>
  </si>
  <si>
    <t>Melting_Curves/meltCurve_C4AMC7_WASH3P.pdf</t>
  </si>
  <si>
    <t>Melting_Curves/meltCurve_E9PAV3_NACA.pdf</t>
  </si>
  <si>
    <t>Melting_Curves/meltCurve_O00115_2_DNASE2.pdf</t>
  </si>
  <si>
    <t>Melting_Curves/meltCurve_O00151_PDLIM1.pdf</t>
  </si>
  <si>
    <t>Melting_Curves/meltCurve_O00159_2_MYO1C.pdf</t>
  </si>
  <si>
    <t>Melting_Curves/meltCurve_O00170_AIP.pdf</t>
  </si>
  <si>
    <t>Melting_Curves/meltCurve_O00203_3_AP3B1.pdf</t>
  </si>
  <si>
    <t>Melting_Curves/meltCurve_O00233_PSMD9.pdf</t>
  </si>
  <si>
    <t>Melting_Curves/meltCurve_O00264_PGRMC1.pdf</t>
  </si>
  <si>
    <t>Melting_Curves/meltCurve_O00299_CLIC1.pdf</t>
  </si>
  <si>
    <t>Melting_Curves/meltCurve_O00300_TNFRSF11B.pdf</t>
  </si>
  <si>
    <t>Melting_Curves/meltCurve_O00339_2_MATN2.pdf</t>
  </si>
  <si>
    <t>Melting_Curves/meltCurve_O00391_QSOX1.pdf</t>
  </si>
  <si>
    <t>Melting_Curves/meltCurve_O00391_2_QSOX1.pdf</t>
  </si>
  <si>
    <t>Melting_Curves/meltCurve_O00401_WASL.pdf</t>
  </si>
  <si>
    <t>Melting_Curves/meltCurve_O00423_EML1.pdf</t>
  </si>
  <si>
    <t>Melting_Curves/meltCurve_O00451_GFRA2.pdf</t>
  </si>
  <si>
    <t>Melting_Curves/meltCurve_O00461_GOLIM4.pdf</t>
  </si>
  <si>
    <t>Melting_Curves/meltCurve_O00462_MANBA.pdf</t>
  </si>
  <si>
    <t>Melting_Curves/meltCurve_O00468_6_AGRN.pdf</t>
  </si>
  <si>
    <t>Melting_Curves/meltCurve_O00469_PLOD2.pdf</t>
  </si>
  <si>
    <t>Melting_Curves/meltCurve_O00533_CHL1.pdf</t>
  </si>
  <si>
    <t>Melting_Curves/meltCurve_O00584_RNASET2.pdf</t>
  </si>
  <si>
    <t>Melting_Curves/meltCurve_O00592_2_PODXL.pdf</t>
  </si>
  <si>
    <t>Melting_Curves/meltCurve_O00622_CYR61.pdf</t>
  </si>
  <si>
    <t>Melting_Curves/meltCurve_O00754_2_MAN2B1.pdf</t>
  </si>
  <si>
    <t>Melting_Curves/meltCurve_O14562_UBFD1.pdf</t>
  </si>
  <si>
    <t>Melting_Curves/meltCurve_O14638_ENPP3.pdf</t>
  </si>
  <si>
    <t>Melting_Curves/meltCurve_O14672_ADAM10.pdf</t>
  </si>
  <si>
    <t>Melting_Curves/meltCurve_O14737_PDCD5.pdf</t>
  </si>
  <si>
    <t>Melting_Curves/meltCurve_O14745_SLC9A3R1.pdf</t>
  </si>
  <si>
    <t>Melting_Curves/meltCurve_O14786_3_NRP1.pdf</t>
  </si>
  <si>
    <t>Melting_Curves/meltCurve_O14818_PSMA7.pdf</t>
  </si>
  <si>
    <t>Melting_Curves/meltCurve_O15031_PLXNB2.pdf</t>
  </si>
  <si>
    <t>Melting_Curves/meltCurve_O15078_2_CEP290.pdf</t>
  </si>
  <si>
    <t>Melting_Curves/meltCurve_O15144_ARPC2.pdf</t>
  </si>
  <si>
    <t>Melting_Curves/meltCurve_O15204_2_ADAMDEC1.pdf</t>
  </si>
  <si>
    <t>Melting_Curves/meltCurve_O15212_PFDN6.pdf</t>
  </si>
  <si>
    <t>Melting_Curves/meltCurve_O15230_LAMA5.pdf</t>
  </si>
  <si>
    <t>Melting_Curves/meltCurve_O15231_5_ZNF185.pdf</t>
  </si>
  <si>
    <t>Melting_Curves/meltCurve_O15232_2_MATN3.pdf</t>
  </si>
  <si>
    <t>Melting_Curves/meltCurve_O15335_CHAD.pdf</t>
  </si>
  <si>
    <t>Melting_Curves/meltCurve_O15393_TMPRSS2.pdf</t>
  </si>
  <si>
    <t>Melting_Curves/meltCurve_O15394_NCAM2.pdf</t>
  </si>
  <si>
    <t>Melting_Curves/meltCurve_O15498_2_YKT6.pdf</t>
  </si>
  <si>
    <t>Melting_Curves/meltCurve_O15511_ARPC5.pdf</t>
  </si>
  <si>
    <t>Melting_Curves/meltCurve_O43175_PHGDH.pdf</t>
  </si>
  <si>
    <t>Melting_Curves/meltCurve_O43182_5_ARHGAP6.pdf</t>
  </si>
  <si>
    <t>Melting_Curves/meltCurve_O43237_2_DYNC1LI2.pdf</t>
  </si>
  <si>
    <t>Melting_Curves/meltCurve_O43240_KLK10.pdf</t>
  </si>
  <si>
    <t>Melting_Curves/meltCurve_O43278_SPINT1.pdf</t>
  </si>
  <si>
    <t>Melting_Curves/meltCurve_O43291_SPINT2.pdf</t>
  </si>
  <si>
    <t>Melting_Curves/meltCurve_O43399_2_TPD52L2.pdf</t>
  </si>
  <si>
    <t>Melting_Curves/meltCurve_O43405_COCH.pdf</t>
  </si>
  <si>
    <t>Melting_Curves/meltCurve_O43488_AKR7A2.pdf</t>
  </si>
  <si>
    <t>Melting_Curves/meltCurve_O43505_B4GAT1.pdf</t>
  </si>
  <si>
    <t>Melting_Curves/meltCurve_O43581_SYT7.pdf</t>
  </si>
  <si>
    <t>Melting_Curves/meltCurve_O43583_DENR.pdf</t>
  </si>
  <si>
    <t>Melting_Curves/meltCurve_O43598_2_DNPH1.pdf</t>
  </si>
  <si>
    <t>Melting_Curves/meltCurve_O43653_PSCA.pdf</t>
  </si>
  <si>
    <t>Melting_Curves/meltCurve_O43692_PI15.pdf</t>
  </si>
  <si>
    <t>Melting_Curves/meltCurve_O43707_ACTN4.pdf</t>
  </si>
  <si>
    <t>Melting_Curves/meltCurve_O43765_SGTA.pdf</t>
  </si>
  <si>
    <t>Melting_Curves/meltCurve_O43776_NARS.pdf</t>
  </si>
  <si>
    <t>Melting_Curves/meltCurve_O43852_2_CALU.pdf</t>
  </si>
  <si>
    <t>Melting_Curves/meltCurve_O60256_4_PRPSAP2.pdf</t>
  </si>
  <si>
    <t>Melting_Curves/meltCurve_O60343_4_TBC1D4.pdf</t>
  </si>
  <si>
    <t>Melting_Curves/meltCurve_O60353_2_FZD6.pdf</t>
  </si>
  <si>
    <t>Melting_Curves/meltCurve_O60506_5_SYNCRIP.pdf</t>
  </si>
  <si>
    <t>Melting_Curves/meltCurve_O60513_B4GALT4.pdf</t>
  </si>
  <si>
    <t>Melting_Curves/meltCurve_O60565_2_GREM1.pdf</t>
  </si>
  <si>
    <t>Melting_Curves/meltCurve_O60568_PLOD3.pdf</t>
  </si>
  <si>
    <t>Melting_Curves/meltCurve_O60613_SELENOF.pdf</t>
  </si>
  <si>
    <t>Melting_Curves/meltCurve_O60664_4_PLIN3.pdf</t>
  </si>
  <si>
    <t>Melting_Curves/meltCurve_O60701_3_UGDH.pdf</t>
  </si>
  <si>
    <t>Melting_Curves/meltCurve_O60784_3_TOM1.pdf</t>
  </si>
  <si>
    <t>Melting_Curves/meltCurve_O60884_DNAJA2.pdf</t>
  </si>
  <si>
    <t>Melting_Curves/meltCurve_O60888_3_CUTA.pdf</t>
  </si>
  <si>
    <t>Melting_Curves/meltCurve_O60925_PFDN1.pdf</t>
  </si>
  <si>
    <t>Melting_Curves/meltCurve_O60936_NOL3.pdf</t>
  </si>
  <si>
    <t>Melting_Curves/meltCurve_O75071_EFCAB14.pdf</t>
  </si>
  <si>
    <t>Melting_Curves/meltCurve_O75083_3_WDR1.pdf</t>
  </si>
  <si>
    <t>Melting_Curves/meltCurve_O75093_SLIT1.pdf</t>
  </si>
  <si>
    <t>Melting_Curves/meltCurve_O75095_MEGF6.pdf</t>
  </si>
  <si>
    <t>Melting_Curves/meltCurve_O75144_3_ICOSLG.pdf</t>
  </si>
  <si>
    <t>Melting_Curves/meltCurve_O75223_3_GGCT.pdf</t>
  </si>
  <si>
    <t>Melting_Curves/meltCurve_O75310_UGT2B11.pdf</t>
  </si>
  <si>
    <t>Melting_Curves/meltCurve_O75326_2_SEMA7A.pdf</t>
  </si>
  <si>
    <t>Melting_Curves/meltCurve_O75347_TBCA.pdf</t>
  </si>
  <si>
    <t>Melting_Curves/meltCurve_O75348_ATP6V1G1.pdf</t>
  </si>
  <si>
    <t>Melting_Curves/meltCurve_O75356_ENTPD5.pdf</t>
  </si>
  <si>
    <t>Melting_Curves/meltCurve_O75363_BCAS1.pdf</t>
  </si>
  <si>
    <t>Melting_Curves/meltCurve_O75368_SH3BGRL.pdf</t>
  </si>
  <si>
    <t>Melting_Curves/meltCurve_O75369_7_FLNB.pdf</t>
  </si>
  <si>
    <t>Melting_Curves/meltCurve_O75382_4_TRIM3.pdf</t>
  </si>
  <si>
    <t>Melting_Curves/meltCurve_O75436_2_VPS26A.pdf</t>
  </si>
  <si>
    <t>Melting_Curves/meltCurve_O75487_GPC4.pdf</t>
  </si>
  <si>
    <t>Melting_Curves/meltCurve_O75503_CLN5.pdf</t>
  </si>
  <si>
    <t>Melting_Curves/meltCurve_O75594_PGLYRP1.pdf</t>
  </si>
  <si>
    <t>Melting_Curves/meltCurve_O75629_CREG1.pdf</t>
  </si>
  <si>
    <t>Melting_Curves/meltCurve_O75718_CRTAP.pdf</t>
  </si>
  <si>
    <t>Melting_Curves/meltCurve_O75752_B3GALNT1.pdf</t>
  </si>
  <si>
    <t>Melting_Curves/meltCurve_O75787_2_ATP6AP2.pdf</t>
  </si>
  <si>
    <t>Melting_Curves/meltCurve_O75821_EIF3G.pdf</t>
  </si>
  <si>
    <t>Melting_Curves/meltCurve_O75822_2_EIF3J.pdf</t>
  </si>
  <si>
    <t>Melting_Curves/meltCurve_O75874_IDH1.pdf</t>
  </si>
  <si>
    <t>Melting_Curves/meltCurve_O75882_3_ATRN.pdf</t>
  </si>
  <si>
    <t>Melting_Curves/meltCurve_O75976_CPD.pdf</t>
  </si>
  <si>
    <t>Melting_Curves/meltCurve_O76076_WISP2.pdf</t>
  </si>
  <si>
    <t>Melting_Curves/meltCurve_O94760_DDAH1.pdf</t>
  </si>
  <si>
    <t>Melting_Curves/meltCurve_O94766_2_B3GAT3.pdf</t>
  </si>
  <si>
    <t>Melting_Curves/meltCurve_O94813_3_SLIT2.pdf</t>
  </si>
  <si>
    <t>Melting_Curves/meltCurve_O94875_9_SORBS2.pdf</t>
  </si>
  <si>
    <t>Melting_Curves/meltCurve_O94903_PROSC.pdf</t>
  </si>
  <si>
    <t>Melting_Curves/meltCurve_O94910_2_ADGRL1.pdf</t>
  </si>
  <si>
    <t>Melting_Curves/meltCurve_O94919_ENDOD1.pdf</t>
  </si>
  <si>
    <t>Melting_Curves/meltCurve_O94979_5_SEC31A.pdf</t>
  </si>
  <si>
    <t>Melting_Curves/meltCurve_O94985_2_CLSTN1.pdf</t>
  </si>
  <si>
    <t>Melting_Curves/meltCurve_O95025_SEMA3D.pdf</t>
  </si>
  <si>
    <t>Melting_Curves/meltCurve_O95274_LYPD3.pdf</t>
  </si>
  <si>
    <t>Melting_Curves/meltCurve_O95336_PGLS.pdf</t>
  </si>
  <si>
    <t>Melting_Curves/meltCurve_O95359_3_TACC2.pdf</t>
  </si>
  <si>
    <t>Melting_Curves/meltCurve_O95394_PGM3.pdf</t>
  </si>
  <si>
    <t>Melting_Curves/meltCurve_O95460_4_MATN4.pdf</t>
  </si>
  <si>
    <t>Melting_Curves/meltCurve_O95630_STAMBP.pdf</t>
  </si>
  <si>
    <t>Melting_Curves/meltCurve_O95747_OXSR1.pdf</t>
  </si>
  <si>
    <t>Melting_Curves/meltCurve_O95793_2_STAU1.pdf</t>
  </si>
  <si>
    <t>Melting_Curves/meltCurve_O95816_BAG2.pdf</t>
  </si>
  <si>
    <t>Melting_Curves/meltCurve_O95817_BAG3.pdf</t>
  </si>
  <si>
    <t>Melting_Curves/meltCurve_O95834_EML2.pdf</t>
  </si>
  <si>
    <t>Melting_Curves/meltCurve_O95861_3_BPNT1.pdf</t>
  </si>
  <si>
    <t>Melting_Curves/meltCurve_O95865_DDAH2.pdf</t>
  </si>
  <si>
    <t>Melting_Curves/meltCurve_O95967_EFEMP2.pdf</t>
  </si>
  <si>
    <t>Melting_Curves/meltCurve_O95969_SCGB1D2.pdf</t>
  </si>
  <si>
    <t>Melting_Curves/meltCurve_O95980_RECK.pdf</t>
  </si>
  <si>
    <t>Melting_Curves/meltCurve_O95994_AGR2.pdf</t>
  </si>
  <si>
    <t>Melting_Curves/meltCurve_O96007_MOCS2.pdf</t>
  </si>
  <si>
    <t>Melting_Curves/meltCurve_P00338_LDHA.pdf</t>
  </si>
  <si>
    <t>Melting_Curves/meltCurve_P00352_ALDH1A1.pdf</t>
  </si>
  <si>
    <t>Melting_Curves/meltCurve_P00390_5_GSR.pdf</t>
  </si>
  <si>
    <t>Melting_Curves/meltCurve_P00441_SOD1.pdf</t>
  </si>
  <si>
    <t>Melting_Curves/meltCurve_P00450_CP.pdf</t>
  </si>
  <si>
    <t>Melting_Curves/meltCurve_P00491_PNP.pdf</t>
  </si>
  <si>
    <t>Melting_Curves/meltCurve_P00492_HPRT1.pdf</t>
  </si>
  <si>
    <t>Melting_Curves/meltCurve_P00533_2_EGFR.pdf</t>
  </si>
  <si>
    <t>Melting_Curves/meltCurve_P00558_PGK1.pdf</t>
  </si>
  <si>
    <t>Melting_Curves/meltCurve_P00568_AK1.pdf</t>
  </si>
  <si>
    <t>Melting_Curves/meltCurve_P00709_LALBA.pdf</t>
  </si>
  <si>
    <t>Melting_Curves/meltCurve_P00734_F2.pdf</t>
  </si>
  <si>
    <t>Melting_Curves/meltCurve_P00736_C1R.pdf</t>
  </si>
  <si>
    <t>Melting_Curves/meltCurve_P00738_HP.pdf</t>
  </si>
  <si>
    <t>Melting_Curves/meltCurve_P00746_CFD.pdf</t>
  </si>
  <si>
    <t>Melting_Curves/meltCurve_P00747_PLG.pdf</t>
  </si>
  <si>
    <t>Melting_Curves/meltCurve_P00748_F12.pdf</t>
  </si>
  <si>
    <t>Melting_Curves/meltCurve_P00750_3_PLAT.pdf</t>
  </si>
  <si>
    <t>Melting_Curves/meltCurve_P00751_CFB.pdf</t>
  </si>
  <si>
    <t>Melting_Curves/meltCurve_P00918_CA2.pdf</t>
  </si>
  <si>
    <t>Melting_Curves/meltCurve_P00966_ASS1.pdf</t>
  </si>
  <si>
    <t>Melting_Curves/meltCurve_P01008_SERPINC1.pdf</t>
  </si>
  <si>
    <t>Melting_Curves/meltCurve_P01009_SERPINA1.pdf</t>
  </si>
  <si>
    <t>Melting_Curves/meltCurve_P01011_SERPINA3.pdf</t>
  </si>
  <si>
    <t>Melting_Curves/meltCurve_P01019_AGT.pdf</t>
  </si>
  <si>
    <t>Melting_Curves/meltCurve_P01024_C3.pdf</t>
  </si>
  <si>
    <t>Melting_Curves/meltCurve_P01031_C5.pdf</t>
  </si>
  <si>
    <t>Melting_Curves/meltCurve_P01033_TIMP1.pdf</t>
  </si>
  <si>
    <t>Melting_Curves/meltCurve_P01034_CST3.pdf</t>
  </si>
  <si>
    <t>Melting_Curves/meltCurve_P01036_CST4.pdf</t>
  </si>
  <si>
    <t>Melting_Curves/meltCurve_P01037_CST1.pdf</t>
  </si>
  <si>
    <t>Melting_Curves/meltCurve_P01040_CSTA.pdf</t>
  </si>
  <si>
    <t>Melting_Curves/meltCurve_P01042_2_KNG1.pdf</t>
  </si>
  <si>
    <t>Melting_Curves/meltCurve_P01112_2_HRAS.pdf</t>
  </si>
  <si>
    <t>Melting_Curves/meltCurve_P01127_2_PDGFB.pdf</t>
  </si>
  <si>
    <t>Melting_Curves/meltCurve_P01130_3_LDLR.pdf</t>
  </si>
  <si>
    <t>Melting_Curves/meltCurve_P01137_TGFB1.pdf</t>
  </si>
  <si>
    <t>Melting_Curves/meltCurve_P01303_NPY.pdf</t>
  </si>
  <si>
    <t>Melting_Curves/meltCurve_P01344_IGF2.pdf</t>
  </si>
  <si>
    <t>Melting_Curves/meltCurve_P01591_JCHAIN.pdf</t>
  </si>
  <si>
    <t>Melting_Curves/meltCurve_P01619_IGKV3_20.pdf</t>
  </si>
  <si>
    <t>Melting_Curves/meltCurve_P01700_IGLV1_47.pdf</t>
  </si>
  <si>
    <t>Melting_Curves/meltCurve_P01833_PIGR.pdf</t>
  </si>
  <si>
    <t>Melting_Curves/meltCurve_P01834_IGKC.pdf</t>
  </si>
  <si>
    <t>Melting_Curves/meltCurve_P01859_IGHG2.pdf</t>
  </si>
  <si>
    <t>Melting_Curves/meltCurve_P01860_IGHG3.pdf</t>
  </si>
  <si>
    <t>Melting_Curves/meltCurve_P01861_IGHG4.pdf</t>
  </si>
  <si>
    <t>Melting_Curves/meltCurve_P01876_IGHA1.pdf</t>
  </si>
  <si>
    <t>Melting_Curves/meltCurve_P02545_2_LMNA.pdf</t>
  </si>
  <si>
    <t>Melting_Curves/meltCurve_P02647_APOA1.pdf</t>
  </si>
  <si>
    <t>Melting_Curves/meltCurve_P02649_APOE.pdf</t>
  </si>
  <si>
    <t>Melting_Curves/meltCurve_P02652_APOA2.pdf</t>
  </si>
  <si>
    <t>Melting_Curves/meltCurve_P02671_2_FGA.pdf</t>
  </si>
  <si>
    <t>Melting_Curves/meltCurve_P02675_FGB.pdf</t>
  </si>
  <si>
    <t>Melting_Curves/meltCurve_P02679_2_FGG.pdf</t>
  </si>
  <si>
    <t>Melting_Curves/meltCurve_P02746_C1QB.pdf</t>
  </si>
  <si>
    <t>Melting_Curves/meltCurve_P02748_C9.pdf</t>
  </si>
  <si>
    <t>Melting_Curves/meltCurve_P02749_APOH.pdf</t>
  </si>
  <si>
    <t>Melting_Curves/meltCurve_P02750_LRG1.pdf</t>
  </si>
  <si>
    <t>Melting_Curves/meltCurve_P02751_FN1.pdf</t>
  </si>
  <si>
    <t>Melting_Curves/meltCurve_P02753_RBP4.pdf</t>
  </si>
  <si>
    <t>Melting_Curves/meltCurve_P02760_AMBP.pdf</t>
  </si>
  <si>
    <t>Melting_Curves/meltCurve_P02763_ORM1.pdf</t>
  </si>
  <si>
    <t>Melting_Curves/meltCurve_P02765_AHSG.pdf</t>
  </si>
  <si>
    <t>Melting_Curves/meltCurve_P02766_TTR.pdf</t>
  </si>
  <si>
    <t>Melting_Curves/meltCurve_P02774_GC.pdf</t>
  </si>
  <si>
    <t>Melting_Curves/meltCurve_P02778_CXCL10.pdf</t>
  </si>
  <si>
    <t>Melting_Curves/meltCurve_P02787_TF.pdf</t>
  </si>
  <si>
    <t>Melting_Curves/meltCurve_P02788_LTF.pdf</t>
  </si>
  <si>
    <t>Melting_Curves/meltCurve_P02790_HPX.pdf</t>
  </si>
  <si>
    <t>Melting_Curves/meltCurve_P02814_SMR3B.pdf</t>
  </si>
  <si>
    <t>Melting_Curves/meltCurve_P03950_ANG.pdf</t>
  </si>
  <si>
    <t>Melting_Curves/meltCurve_P03952_KLKB1.pdf</t>
  </si>
  <si>
    <t>Melting_Curves/meltCurve_P03973_SLPI.pdf</t>
  </si>
  <si>
    <t>Melting_Curves/meltCurve_P04004_VTN.pdf</t>
  </si>
  <si>
    <t>Melting_Curves/meltCurve_P04062_4_GBA.pdf</t>
  </si>
  <si>
    <t>Melting_Curves/meltCurve_P04066_FUCA1.pdf</t>
  </si>
  <si>
    <t>Melting_Curves/meltCurve_P04075_ALDOA.pdf</t>
  </si>
  <si>
    <t>Melting_Curves/meltCurve_P04080_CSTB.pdf</t>
  </si>
  <si>
    <t>Melting_Curves/meltCurve_P04083_ANXA1.pdf</t>
  </si>
  <si>
    <t>Melting_Curves/meltCurve_P04085_2_PDGFA.pdf</t>
  </si>
  <si>
    <t>Melting_Curves/meltCurve_P04155_TFF1.pdf</t>
  </si>
  <si>
    <t>Melting_Curves/meltCurve_P04196_HRG.pdf</t>
  </si>
  <si>
    <t>Melting_Curves/meltCurve_P04217_A1BG.pdf</t>
  </si>
  <si>
    <t>Melting_Curves/meltCurve_P04259_KRT6B.pdf</t>
  </si>
  <si>
    <t>Melting_Curves/meltCurve_P04275_VWF.pdf</t>
  </si>
  <si>
    <t>Melting_Curves/meltCurve_P04279_SEMG1.pdf</t>
  </si>
  <si>
    <t>Melting_Curves/meltCurve_P04350_TUBB4A.pdf</t>
  </si>
  <si>
    <t>Melting_Curves/meltCurve_P04406_2_GAPDH.pdf</t>
  </si>
  <si>
    <t>Melting_Curves/meltCurve_P04632_CAPNS1.pdf</t>
  </si>
  <si>
    <t>Melting_Curves/meltCurve_P04745_AMY1A.pdf</t>
  </si>
  <si>
    <t>Melting_Curves/meltCurve_P04792_HSPB1.pdf</t>
  </si>
  <si>
    <t>Melting_Curves/meltCurve_P05019_3_IGF1.pdf</t>
  </si>
  <si>
    <t>Melting_Curves/meltCurve_P05060_CHGB.pdf</t>
  </si>
  <si>
    <t>Melting_Curves/meltCurve_P05089_3_ARG1.pdf</t>
  </si>
  <si>
    <t>Melting_Curves/meltCurve_P05090_APOD.pdf</t>
  </si>
  <si>
    <t>Melting_Curves/meltCurve_P05109_S100A8.pdf</t>
  </si>
  <si>
    <t>Melting_Curves/meltCurve_P05154_SERPINA5.pdf</t>
  </si>
  <si>
    <t>Melting_Curves/meltCurve_P05155_2_SERPING1.pdf</t>
  </si>
  <si>
    <t>Melting_Curves/meltCurve_P05156_CFI.pdf</t>
  </si>
  <si>
    <t>Melting_Curves/meltCurve_P05160_F13B.pdf</t>
  </si>
  <si>
    <t>Melting_Curves/meltCurve_P05164_2_MPO.pdf</t>
  </si>
  <si>
    <t>Melting_Curves/meltCurve_P05186_2_ALPL.pdf</t>
  </si>
  <si>
    <t>Melting_Curves/meltCurve_P05362_ICAM1.pdf</t>
  </si>
  <si>
    <t>Melting_Curves/meltCurve_P05387_RPLP2.pdf</t>
  </si>
  <si>
    <t>Melting_Curves/meltCurve_P05452_CLEC3B.pdf</t>
  </si>
  <si>
    <t>Melting_Curves/meltCurve_P05783_KRT18.pdf</t>
  </si>
  <si>
    <t>Melting_Curves/meltCurve_P05814_CSN2.pdf</t>
  </si>
  <si>
    <t>Melting_Curves/meltCurve_P05981_HPN.pdf</t>
  </si>
  <si>
    <t>Melting_Curves/meltCurve_P06132_UROD.pdf</t>
  </si>
  <si>
    <t>Melting_Curves/meltCurve_P06280_GLA.pdf</t>
  </si>
  <si>
    <t>Melting_Curves/meltCurve_P06396_2_GSN.pdf</t>
  </si>
  <si>
    <t>Melting_Curves/meltCurve_P06576_ATP5B.pdf</t>
  </si>
  <si>
    <t>Melting_Curves/meltCurve_P06681_C2.pdf</t>
  </si>
  <si>
    <t>Melting_Curves/meltCurve_P06702_S100A9.pdf</t>
  </si>
  <si>
    <t>Melting_Curves/meltCurve_P06703_S100A6.pdf</t>
  </si>
  <si>
    <t>Melting_Curves/meltCurve_P06727_APOA4.pdf</t>
  </si>
  <si>
    <t>Melting_Curves/meltCurve_P06733_ENO1.pdf</t>
  </si>
  <si>
    <t>Melting_Curves/meltCurve_P06753_5_TPM3.pdf</t>
  </si>
  <si>
    <t>Melting_Curves/meltCurve_P06756_3_ITGAV.pdf</t>
  </si>
  <si>
    <t>Melting_Curves/meltCurve_P06858_LPL.pdf</t>
  </si>
  <si>
    <t>Melting_Curves/meltCurve_P06865_HEXA.pdf</t>
  </si>
  <si>
    <t>Melting_Curves/meltCurve_P06870_2_KLK1.pdf</t>
  </si>
  <si>
    <t>Melting_Curves/meltCurve_P07108_DBI.pdf</t>
  </si>
  <si>
    <t>Melting_Curves/meltCurve_P07195_LDHB.pdf</t>
  </si>
  <si>
    <t>Melting_Curves/meltCurve_P07203_GPX1.pdf</t>
  </si>
  <si>
    <t>Melting_Curves/meltCurve_P07225_PROS1.pdf</t>
  </si>
  <si>
    <t>Melting_Curves/meltCurve_P07237_P4HB.pdf</t>
  </si>
  <si>
    <t>Melting_Curves/meltCurve_P07288_KLK3.pdf</t>
  </si>
  <si>
    <t>Melting_Curves/meltCurve_P07339_CTSD.pdf</t>
  </si>
  <si>
    <t>Melting_Curves/meltCurve_P07355_ANXA2.pdf</t>
  </si>
  <si>
    <t>Melting_Curves/meltCurve_P07357_C8A.pdf</t>
  </si>
  <si>
    <t>Melting_Curves/meltCurve_P07360_C8G.pdf</t>
  </si>
  <si>
    <t>Melting_Curves/meltCurve_P07384_CAPN1.pdf</t>
  </si>
  <si>
    <t>Melting_Curves/meltCurve_P07437_TUBB.pdf</t>
  </si>
  <si>
    <t>Melting_Curves/meltCurve_P07478_PRSS2.pdf</t>
  </si>
  <si>
    <t>Melting_Curves/meltCurve_P07498_CSN3.pdf</t>
  </si>
  <si>
    <t>Melting_Curves/meltCurve_P07585_DCN.pdf</t>
  </si>
  <si>
    <t>Melting_Curves/meltCurve_P07602_PSAP.pdf</t>
  </si>
  <si>
    <t>Melting_Curves/meltCurve_P07686_HEXB.pdf</t>
  </si>
  <si>
    <t>Melting_Curves/meltCurve_P07711_CTSL.pdf</t>
  </si>
  <si>
    <t>Melting_Curves/meltCurve_P07737_PFN1.pdf</t>
  </si>
  <si>
    <t>Melting_Curves/meltCurve_P07741_2_APRT.pdf</t>
  </si>
  <si>
    <t>Melting_Curves/meltCurve_P07858_CTSB.pdf</t>
  </si>
  <si>
    <t>Melting_Curves/meltCurve_P07900_HSP90AA1.pdf</t>
  </si>
  <si>
    <t>Melting_Curves/meltCurve_P07949_2_RET.pdf</t>
  </si>
  <si>
    <t>Melting_Curves/meltCurve_P07998_RNASE1.pdf</t>
  </si>
  <si>
    <t>Melting_Curves/meltCurve_P08118_MSMB.pdf</t>
  </si>
  <si>
    <t>Melting_Curves/meltCurve_P08133_2_ANXA6.pdf</t>
  </si>
  <si>
    <t>Melting_Curves/meltCurve_P08134_RHOC.pdf</t>
  </si>
  <si>
    <t>Melting_Curves/meltCurve_P08174_4_CD55.pdf</t>
  </si>
  <si>
    <t>Melting_Curves/meltCurve_P08185_SERPINA6.pdf</t>
  </si>
  <si>
    <t>Melting_Curves/meltCurve_P08195_2_SLC3A2.pdf</t>
  </si>
  <si>
    <t>Melting_Curves/meltCurve_P08238_HSP90AB1.pdf</t>
  </si>
  <si>
    <t>Melting_Curves/meltCurve_P08246_ELANE.pdf</t>
  </si>
  <si>
    <t>Melting_Curves/meltCurve_P08253_3_MMP2.pdf</t>
  </si>
  <si>
    <t>Melting_Curves/meltCurve_P08294_SOD3.pdf</t>
  </si>
  <si>
    <t>Melting_Curves/meltCurve_P08473_MME.pdf</t>
  </si>
  <si>
    <t>Melting_Curves/meltCurve_P08571_CD14.pdf</t>
  </si>
  <si>
    <t>Melting_Curves/meltCurve_P08603_CFH.pdf</t>
  </si>
  <si>
    <t>Melting_Curves/meltCurve_P08620_FGF4.pdf</t>
  </si>
  <si>
    <t>Melting_Curves/meltCurve_P08670_VIM.pdf</t>
  </si>
  <si>
    <t>Melting_Curves/meltCurve_P08697_SERPINF2.pdf</t>
  </si>
  <si>
    <t>Melting_Curves/meltCurve_P08758_ANXA5.pdf</t>
  </si>
  <si>
    <t>Melting_Curves/meltCurve_P08833_IGFBP1.pdf</t>
  </si>
  <si>
    <t>Melting_Curves/meltCurve_P08865_RPSA.pdf</t>
  </si>
  <si>
    <t>Melting_Curves/meltCurve_P09211_GSTP1.pdf</t>
  </si>
  <si>
    <t>Melting_Curves/meltCurve_P09228_CST2.pdf</t>
  </si>
  <si>
    <t>Melting_Curves/meltCurve_P09417_2_QDPR.pdf</t>
  </si>
  <si>
    <t>Melting_Curves/meltCurve_P09466_2_PAEP.pdf</t>
  </si>
  <si>
    <t>Melting_Curves/meltCurve_P09467_FBP1.pdf</t>
  </si>
  <si>
    <t>Melting_Curves/meltCurve_P09486_SPARC.pdf</t>
  </si>
  <si>
    <t>Melting_Curves/meltCurve_P09497_2_CLTB.pdf</t>
  </si>
  <si>
    <t>Melting_Curves/meltCurve_P09525_ANXA4.pdf</t>
  </si>
  <si>
    <t>Melting_Curves/meltCurve_P09529_INHBB.pdf</t>
  </si>
  <si>
    <t>Melting_Curves/meltCurve_P09603_CSF1.pdf</t>
  </si>
  <si>
    <t>Melting_Curves/meltCurve_P09668_CTSH.pdf</t>
  </si>
  <si>
    <t>Melting_Curves/meltCurve_P09758_TACSTD2.pdf</t>
  </si>
  <si>
    <t>Melting_Curves/meltCurve_P09871_C1S.pdf</t>
  </si>
  <si>
    <t>Melting_Curves/meltCurve_P09958_FURIN.pdf</t>
  </si>
  <si>
    <t>Melting_Curves/meltCurve_P09960_2_LTA4H.pdf</t>
  </si>
  <si>
    <t>Melting_Curves/meltCurve_P09972_ALDOC.pdf</t>
  </si>
  <si>
    <t>Melting_Curves/meltCurve_P0C0L4_2_C4A.pdf</t>
  </si>
  <si>
    <t>Melting_Curves/meltCurve_P0C5U4_NS.pdf</t>
  </si>
  <si>
    <t>Melting_Curves/meltCurve_P0DMQ5_INAFM2.pdf</t>
  </si>
  <si>
    <t>Melting_Curves/meltCurve_P0DMV9_HSPA1B.pdf</t>
  </si>
  <si>
    <t>Melting_Curves/meltCurve_P0DOX2_.pdf</t>
  </si>
  <si>
    <t>Melting_Curves/meltCurve_P0DOX5_.pdf</t>
  </si>
  <si>
    <t>Melting_Curves/meltCurve_P0DOX7_.pdf</t>
  </si>
  <si>
    <t>Melting_Curves/meltCurve_P0DOX8_.pdf</t>
  </si>
  <si>
    <t>Melting_Curves/meltCurve_P0DOY3_IGLC3.pdf</t>
  </si>
  <si>
    <t>Melting_Curves/meltCurve_P0DP09_IGKV1_13.pdf</t>
  </si>
  <si>
    <t>Melting_Curves/meltCurve_P0DP25_CALM3.pdf</t>
  </si>
  <si>
    <t>Melting_Curves/meltCurve_P0DP57_SLURP2.pdf</t>
  </si>
  <si>
    <t>Melting_Curves/meltCurve_P10253_GAA.pdf</t>
  </si>
  <si>
    <t>Melting_Curves/meltCurve_P10451_5_SPP1.pdf</t>
  </si>
  <si>
    <t>Melting_Curves/meltCurve_P10586_2_PTPRF.pdf</t>
  </si>
  <si>
    <t>Melting_Curves/meltCurve_P10599_TXN.pdf</t>
  </si>
  <si>
    <t>Melting_Curves/meltCurve_P10600_TGFB3.pdf</t>
  </si>
  <si>
    <t>Melting_Curves/meltCurve_P10619_2_CTSA.pdf</t>
  </si>
  <si>
    <t>Melting_Curves/meltCurve_P10909_4_CLU.pdf</t>
  </si>
  <si>
    <t>Melting_Curves/meltCurve_P11021_HSPA5.pdf</t>
  </si>
  <si>
    <t>Melting_Curves/meltCurve_P11047_LAMC1.pdf</t>
  </si>
  <si>
    <t>Melting_Curves/meltCurve_P11142_HSPA8.pdf</t>
  </si>
  <si>
    <t>Melting_Curves/meltCurve_P11279_LAMP1.pdf</t>
  </si>
  <si>
    <t>Melting_Curves/meltCurve_P11684_SCGB1A1.pdf</t>
  </si>
  <si>
    <t>Melting_Curves/meltCurve_P11717_IGF2R.pdf</t>
  </si>
  <si>
    <t>Melting_Curves/meltCurve_P11908_PRPS2.pdf</t>
  </si>
  <si>
    <t>Melting_Curves/meltCurve_P11940_2_PABPC1.pdf</t>
  </si>
  <si>
    <t>Melting_Curves/meltCurve_P12081_3_HARS.pdf</t>
  </si>
  <si>
    <t>Melting_Curves/meltCurve_P12109_COL6A1.pdf</t>
  </si>
  <si>
    <t>Melting_Curves/meltCurve_P12110_COL6A2.pdf</t>
  </si>
  <si>
    <t>Melting_Curves/meltCurve_P12273_PIP.pdf</t>
  </si>
  <si>
    <t>Melting_Curves/meltCurve_P12277_CKB.pdf</t>
  </si>
  <si>
    <t>Melting_Curves/meltCurve_P12429_ANXA3.pdf</t>
  </si>
  <si>
    <t>Melting_Curves/meltCurve_P12814_2_ACTN1.pdf</t>
  </si>
  <si>
    <t>Melting_Curves/meltCurve_P12821_2_ACE.pdf</t>
  </si>
  <si>
    <t>Melting_Curves/meltCurve_P12830_CDH1.pdf</t>
  </si>
  <si>
    <t>Melting_Curves/meltCurve_P12955_3_PEPD.pdf</t>
  </si>
  <si>
    <t>Melting_Curves/meltCurve_P13489_RNH1.pdf</t>
  </si>
  <si>
    <t>Melting_Curves/meltCurve_P13639_EEF2.pdf</t>
  </si>
  <si>
    <t>Melting_Curves/meltCurve_P13667_PDIA4.pdf</t>
  </si>
  <si>
    <t>Melting_Curves/meltCurve_P13671_C6.pdf</t>
  </si>
  <si>
    <t>Melting_Curves/meltCurve_P13686_ACP5.pdf</t>
  </si>
  <si>
    <t>Melting_Curves/meltCurve_P13693_TPT1.pdf</t>
  </si>
  <si>
    <t>Melting_Curves/meltCurve_P13716_ALAD.pdf</t>
  </si>
  <si>
    <t>Melting_Curves/meltCurve_P13796_LCP1.pdf</t>
  </si>
  <si>
    <t>Melting_Curves/meltCurve_P13798_APEH.pdf</t>
  </si>
  <si>
    <t>Melting_Curves/meltCurve_P13861_2_PRKAR2A.pdf</t>
  </si>
  <si>
    <t>Melting_Curves/meltCurve_P13987_CD59.pdf</t>
  </si>
  <si>
    <t>Melting_Curves/meltCurve_P14174_MIF.pdf</t>
  </si>
  <si>
    <t>Melting_Curves/meltCurve_P14314_2_PRKCSH.pdf</t>
  </si>
  <si>
    <t>Melting_Curves/meltCurve_P14324_2_FDPS.pdf</t>
  </si>
  <si>
    <t>Melting_Curves/meltCurve_P14384_CPM.pdf</t>
  </si>
  <si>
    <t>Melting_Curves/meltCurve_P14543_2_NID1.pdf</t>
  </si>
  <si>
    <t>Melting_Curves/meltCurve_P14550_AKR1A1.pdf</t>
  </si>
  <si>
    <t>Melting_Curves/meltCurve_P14555_PLA2G2A.pdf</t>
  </si>
  <si>
    <t>Melting_Curves/meltCurve_P14618_PKM.pdf</t>
  </si>
  <si>
    <t>Melting_Curves/meltCurve_P14625_HSP90B1.pdf</t>
  </si>
  <si>
    <t>Melting_Curves/meltCurve_P14778_IL1R1.pdf</t>
  </si>
  <si>
    <t>Melting_Curves/meltCurve_P14780_MMP9.pdf</t>
  </si>
  <si>
    <t>Melting_Curves/meltCurve_P14923_JUP.pdf</t>
  </si>
  <si>
    <t>Melting_Curves/meltCurve_P15121_AKR1B1.pdf</t>
  </si>
  <si>
    <t>Melting_Curves/meltCurve_P15144_ANPEP.pdf</t>
  </si>
  <si>
    <t>Melting_Curves/meltCurve_P15151_3_PVR.pdf</t>
  </si>
  <si>
    <t>Melting_Curves/meltCurve_P15170_GSPT1.pdf</t>
  </si>
  <si>
    <t>Melting_Curves/meltCurve_P15289_ARSA.pdf</t>
  </si>
  <si>
    <t>Melting_Curves/meltCurve_P15291_2_B4GALT1.pdf</t>
  </si>
  <si>
    <t>Melting_Curves/meltCurve_P15309_ACPP.pdf</t>
  </si>
  <si>
    <t>Melting_Curves/meltCurve_P15311_EZR.pdf</t>
  </si>
  <si>
    <t>Melting_Curves/meltCurve_P15328_FOLR1.pdf</t>
  </si>
  <si>
    <t>Melting_Curves/meltCurve_P15586_2_GNS.pdf</t>
  </si>
  <si>
    <t>Melting_Curves/meltCurve_P15692_5_VEGFA.pdf</t>
  </si>
  <si>
    <t>Melting_Curves/meltCurve_P15848_ARSB.pdf</t>
  </si>
  <si>
    <t>Melting_Curves/meltCurve_P15907_ST6GAL1.pdf</t>
  </si>
  <si>
    <t>Melting_Curves/meltCurve_P15924_DSP.pdf</t>
  </si>
  <si>
    <t>Melting_Curves/meltCurve_P16035_TIMP2.pdf</t>
  </si>
  <si>
    <t>Melting_Curves/meltCurve_P16070_15_CD44.pdf</t>
  </si>
  <si>
    <t>Melting_Curves/meltCurve_P16083_NQO2.pdf</t>
  </si>
  <si>
    <t>Melting_Curves/meltCurve_P16152_CBR1.pdf</t>
  </si>
  <si>
    <t>Melting_Curves/meltCurve_P16278_2_GLB1.pdf</t>
  </si>
  <si>
    <t>Melting_Curves/meltCurve_P16403_HIST1H1C.pdf</t>
  </si>
  <si>
    <t>Melting_Curves/meltCurve_P16442_ABO.pdf</t>
  </si>
  <si>
    <t>Melting_Curves/meltCurve_P16671_2_CD36.pdf</t>
  </si>
  <si>
    <t>Melting_Curves/meltCurve_P16750_GO.pdf</t>
  </si>
  <si>
    <t>Melting_Curves/meltCurve_P16870_2_CPE.pdf</t>
  </si>
  <si>
    <t>Melting_Curves/meltCurve_P16949_STMN1.pdf</t>
  </si>
  <si>
    <t>Melting_Curves/meltCurve_P17050_NAGA.pdf</t>
  </si>
  <si>
    <t>Melting_Curves/meltCurve_P17066_HSPA6.pdf</t>
  </si>
  <si>
    <t>Melting_Curves/meltCurve_P17174_GOT1.pdf</t>
  </si>
  <si>
    <t>Melting_Curves/meltCurve_P17181_2_IFNAR1.pdf</t>
  </si>
  <si>
    <t>Melting_Curves/meltCurve_P17213_BPI.pdf</t>
  </si>
  <si>
    <t>Melting_Curves/meltCurve_P17405_4_SMPD1.pdf</t>
  </si>
  <si>
    <t>Melting_Curves/meltCurve_P17655_CAPN2.pdf</t>
  </si>
  <si>
    <t>Melting_Curves/meltCurve_P17900_GM2A.pdf</t>
  </si>
  <si>
    <t>Melting_Curves/meltCurve_P17931_LGALS3.pdf</t>
  </si>
  <si>
    <t>Melting_Curves/meltCurve_P17936_IGFBP3.pdf</t>
  </si>
  <si>
    <t>Melting_Curves/meltCurve_P17987_TCP1.pdf</t>
  </si>
  <si>
    <t>Melting_Curves/meltCurve_P18065_IGFBP2.pdf</t>
  </si>
  <si>
    <t>Melting_Curves/meltCurve_P18206_2_VCL.pdf</t>
  </si>
  <si>
    <t>Melting_Curves/meltCurve_P18428_LBP.pdf</t>
  </si>
  <si>
    <t>Melting_Curves/meltCurve_P18510_4_IL1RN.pdf</t>
  </si>
  <si>
    <t>Melting_Curves/meltCurve_P18621_2_RPL17.pdf</t>
  </si>
  <si>
    <t>Melting_Curves/meltCurve_P18669_PGAM1.pdf</t>
  </si>
  <si>
    <t>Melting_Curves/meltCurve_P18887_XRCC1.pdf</t>
  </si>
  <si>
    <t>Melting_Curves/meltCurve_P19021_2_PAM.pdf</t>
  </si>
  <si>
    <t>Melting_Curves/meltCurve_P19105_MYL12A.pdf</t>
  </si>
  <si>
    <t>Melting_Curves/meltCurve_P19438_5_TNFRSF1A.pdf</t>
  </si>
  <si>
    <t>Melting_Curves/meltCurve_P19440_GGT1.pdf</t>
  </si>
  <si>
    <t>Melting_Curves/meltCurve_P19623_SRM.pdf</t>
  </si>
  <si>
    <t>Melting_Curves/meltCurve_P19652_ORM2.pdf</t>
  </si>
  <si>
    <t>Melting_Curves/meltCurve_P19801_AOC1.pdf</t>
  </si>
  <si>
    <t>Melting_Curves/meltCurve_P19827_ITIH1.pdf</t>
  </si>
  <si>
    <t>Melting_Curves/meltCurve_P19835_CEL.pdf</t>
  </si>
  <si>
    <t>Melting_Curves/meltCurve_P19883_2_FST.pdf</t>
  </si>
  <si>
    <t>Melting_Curves/meltCurve_P19971_TYMP.pdf</t>
  </si>
  <si>
    <t>Melting_Curves/meltCurve_P20061_TCN1.pdf</t>
  </si>
  <si>
    <t>Melting_Curves/meltCurve_P20073_2_ANXA7.pdf</t>
  </si>
  <si>
    <t>Melting_Curves/meltCurve_P20142_PGC.pdf</t>
  </si>
  <si>
    <t>Melting_Curves/meltCurve_P20151_2_KLK2.pdf</t>
  </si>
  <si>
    <t>Melting_Curves/meltCurve_P20155_SPINK2.pdf</t>
  </si>
  <si>
    <t>Melting_Curves/meltCurve_P20160_AZU1.pdf</t>
  </si>
  <si>
    <t>Melting_Curves/meltCurve_P20618_PSMB1.pdf</t>
  </si>
  <si>
    <t>Melting_Curves/meltCurve_P20700_LMNB1.pdf</t>
  </si>
  <si>
    <t>Melting_Curves/meltCurve_P20810_3_CAST.pdf</t>
  </si>
  <si>
    <t>Melting_Curves/meltCurve_P20827_EFNA1.pdf</t>
  </si>
  <si>
    <t>Melting_Curves/meltCurve_P20849_3_COL9A1.pdf</t>
  </si>
  <si>
    <t>Melting_Curves/meltCurve_P20933_AGA.pdf</t>
  </si>
  <si>
    <t>Melting_Curves/meltCurve_P20962_PTMS.pdf</t>
  </si>
  <si>
    <t>Melting_Curves/meltCurve_P21246_PTN.pdf</t>
  </si>
  <si>
    <t>Melting_Curves/meltCurve_P21266_GSTM3.pdf</t>
  </si>
  <si>
    <t>Melting_Curves/meltCurve_P21291_CSRP1.pdf</t>
  </si>
  <si>
    <t>Melting_Curves/meltCurve_P21333_2_FLNA.pdf</t>
  </si>
  <si>
    <t>Melting_Curves/meltCurve_P21579_SYT1.pdf</t>
  </si>
  <si>
    <t>Melting_Curves/meltCurve_P21589_2_NT5E.pdf</t>
  </si>
  <si>
    <t>Melting_Curves/meltCurve_P21695_2_GPD1.pdf</t>
  </si>
  <si>
    <t>Melting_Curves/meltCurve_P21741_MDK.pdf</t>
  </si>
  <si>
    <t>Melting_Curves/meltCurve_P21964_2_COMT.pdf</t>
  </si>
  <si>
    <t>Melting_Curves/meltCurve_P22059_OSBP.pdf</t>
  </si>
  <si>
    <t>Melting_Curves/meltCurve_P22061_PCMT1.pdf</t>
  </si>
  <si>
    <t>Melting_Curves/meltCurve_P22079_2_LPO.pdf</t>
  </si>
  <si>
    <t>Melting_Curves/meltCurve_P22304_IDS.pdf</t>
  </si>
  <si>
    <t>Melting_Curves/meltCurve_P22314_2_UBA1.pdf</t>
  </si>
  <si>
    <t>Melting_Curves/meltCurve_P22352_GPX3.pdf</t>
  </si>
  <si>
    <t>Melting_Curves/meltCurve_P22392_NME2.pdf</t>
  </si>
  <si>
    <t>Melting_Curves/meltCurve_P22692_IGFBP4.pdf</t>
  </si>
  <si>
    <t>Melting_Curves/meltCurve_P22748_CA4.pdf</t>
  </si>
  <si>
    <t>Melting_Curves/meltCurve_P22894_MMP8.pdf</t>
  </si>
  <si>
    <t>Melting_Curves/meltCurve_P22897_MRC1.pdf</t>
  </si>
  <si>
    <t>Melting_Curves/meltCurve_P23142_FBLN1.pdf</t>
  </si>
  <si>
    <t>Melting_Curves/meltCurve_P23280_3_CA6.pdf</t>
  </si>
  <si>
    <t>Melting_Curves/meltCurve_P23284_PPIB.pdf</t>
  </si>
  <si>
    <t>Melting_Curves/meltCurve_P23352_ANOS1.pdf</t>
  </si>
  <si>
    <t>Melting_Curves/meltCurve_P23381_2_WARS.pdf</t>
  </si>
  <si>
    <t>Melting_Curves/meltCurve_P23396_RPS3.pdf</t>
  </si>
  <si>
    <t>Melting_Curves/meltCurve_P23468_PTPRD.pdf</t>
  </si>
  <si>
    <t>Melting_Curves/meltCurve_P23470_2_PTPRG.pdf</t>
  </si>
  <si>
    <t>Melting_Curves/meltCurve_P23526_2_AHCY.pdf</t>
  </si>
  <si>
    <t>Melting_Curves/meltCurve_P23528_CFL1.pdf</t>
  </si>
  <si>
    <t>Melting_Curves/meltCurve_P23588_EIF4B.pdf</t>
  </si>
  <si>
    <t>Melting_Curves/meltCurve_P24158_PRTN3.pdf</t>
  </si>
  <si>
    <t>Melting_Curves/meltCurve_P24592_IGFBP6.pdf</t>
  </si>
  <si>
    <t>Melting_Curves/meltCurve_P24593_IGFBP5.pdf</t>
  </si>
  <si>
    <t>Melting_Curves/meltCurve_P24666_4_ACP1.pdf</t>
  </si>
  <si>
    <t>Melting_Curves/meltCurve_P24821_6_TNC.pdf</t>
  </si>
  <si>
    <t>Melting_Curves/meltCurve_P24855_DNASE1.pdf</t>
  </si>
  <si>
    <t>Melting_Curves/meltCurve_P25311_AZGP1.pdf</t>
  </si>
  <si>
    <t>Melting_Curves/meltCurve_P25398_RPS12.pdf</t>
  </si>
  <si>
    <t>Melting_Curves/meltCurve_P25686_2_DNAJB2.pdf</t>
  </si>
  <si>
    <t>Melting_Curves/meltCurve_P25774_CTSS.pdf</t>
  </si>
  <si>
    <t>Melting_Curves/meltCurve_P25786_PSMA1.pdf</t>
  </si>
  <si>
    <t>Melting_Curves/meltCurve_P25787_PSMA2.pdf</t>
  </si>
  <si>
    <t>Melting_Curves/meltCurve_P25788_2_PSMA3.pdf</t>
  </si>
  <si>
    <t>Melting_Curves/meltCurve_P25789_PSMA4.pdf</t>
  </si>
  <si>
    <t>Melting_Curves/meltCurve_P25815_S100P.pdf</t>
  </si>
  <si>
    <t>Melting_Curves/meltCurve_P26038_MSN.pdf</t>
  </si>
  <si>
    <t>Melting_Curves/meltCurve_P26373_RPL13.pdf</t>
  </si>
  <si>
    <t>Melting_Curves/meltCurve_P26447_S100A4.pdf</t>
  </si>
  <si>
    <t>Melting_Curves/meltCurve_P26572_MGAT1.pdf</t>
  </si>
  <si>
    <t>Melting_Curves/meltCurve_P26641_EEF1G.pdf</t>
  </si>
  <si>
    <t>Melting_Curves/meltCurve_P26885_FKBP2.pdf</t>
  </si>
  <si>
    <t>Melting_Curves/meltCurve_P27169_PON1.pdf</t>
  </si>
  <si>
    <t>Melting_Curves/meltCurve_P27216_ANXA13.pdf</t>
  </si>
  <si>
    <t>Melting_Curves/meltCurve_P27469_G0S2.pdf</t>
  </si>
  <si>
    <t>Melting_Curves/meltCurve_P27487_DPP4.pdf</t>
  </si>
  <si>
    <t>Melting_Curves/meltCurve_P27658_COL8A1.pdf</t>
  </si>
  <si>
    <t>Melting_Curves/meltCurve_P27797_CALR.pdf</t>
  </si>
  <si>
    <t>Melting_Curves/meltCurve_P27824_3_CANX.pdf</t>
  </si>
  <si>
    <t>Melting_Curves/meltCurve_P28062_2_PSMB8.pdf</t>
  </si>
  <si>
    <t>Melting_Curves/meltCurve_P28065_2_PSMB9.pdf</t>
  </si>
  <si>
    <t>Melting_Curves/meltCurve_P28066_PSMA5.pdf</t>
  </si>
  <si>
    <t>Melting_Curves/meltCurve_P28070_PSMB4.pdf</t>
  </si>
  <si>
    <t>Melting_Curves/meltCurve_P28072_PSMB6.pdf</t>
  </si>
  <si>
    <t>Melting_Curves/meltCurve_P28290_2_SSFA2.pdf</t>
  </si>
  <si>
    <t>Melting_Curves/meltCurve_P28799_GRN.pdf</t>
  </si>
  <si>
    <t>Melting_Curves/meltCurve_P28827_PTPRM.pdf</t>
  </si>
  <si>
    <t>Melting_Curves/meltCurve_P28838_2_LAP3.pdf</t>
  </si>
  <si>
    <t>Melting_Curves/meltCurve_P28907_CD38.pdf</t>
  </si>
  <si>
    <t>Melting_Curves/meltCurve_P29218_IMPA1.pdf</t>
  </si>
  <si>
    <t>Melting_Curves/meltCurve_P29401_TKT.pdf</t>
  </si>
  <si>
    <t>Melting_Curves/meltCurve_P29622_SERPINA4.pdf</t>
  </si>
  <si>
    <t>Melting_Curves/meltCurve_P29692_3_EEF1D.pdf</t>
  </si>
  <si>
    <t>Melting_Curves/meltCurve_P30040_ERP29.pdf</t>
  </si>
  <si>
    <t>Melting_Curves/meltCurve_P30041_PRDX6.pdf</t>
  </si>
  <si>
    <t>Melting_Curves/meltCurve_P30043_BLVRB.pdf</t>
  </si>
  <si>
    <t>Melting_Curves/meltCurve_P30044_2_PRDX5.pdf</t>
  </si>
  <si>
    <t>Melting_Curves/meltCurve_P30046_2_DDT.pdf</t>
  </si>
  <si>
    <t>Melting_Curves/meltCurve_P30048_2_PRDX3.pdf</t>
  </si>
  <si>
    <t>Melting_Curves/meltCurve_P30085_CMPK1.pdf</t>
  </si>
  <si>
    <t>Melting_Curves/meltCurve_P30086_PEBP1.pdf</t>
  </si>
  <si>
    <t>Melting_Curves/meltCurve_P30101_PDIA3.pdf</t>
  </si>
  <si>
    <t>Melting_Curves/meltCurve_P30419_2_NMT1.pdf</t>
  </si>
  <si>
    <t>Melting_Curves/meltCurve_P30492_HLA_B.pdf</t>
  </si>
  <si>
    <t>Melting_Curves/meltCurve_P30520_ADSS.pdf</t>
  </si>
  <si>
    <t>Melting_Curves/meltCurve_P30533_LRPAP1.pdf</t>
  </si>
  <si>
    <t>Melting_Curves/meltCurve_P30622_2_CLIP1.pdf</t>
  </si>
  <si>
    <t>Melting_Curves/meltCurve_P30626_3_SRI.pdf</t>
  </si>
  <si>
    <t>Melting_Curves/meltCurve_P30740_SERPINB1.pdf</t>
  </si>
  <si>
    <t>Melting_Curves/meltCurve_P31025_LCN1.pdf</t>
  </si>
  <si>
    <t>Melting_Curves/meltCurve_P31146_CORO1A.pdf</t>
  </si>
  <si>
    <t>Melting_Curves/meltCurve_P31151_S100A7.pdf</t>
  </si>
  <si>
    <t>Melting_Curves/meltCurve_P31153_MAT2A.pdf</t>
  </si>
  <si>
    <t>Melting_Curves/meltCurve_P31431_2_SDC4.pdf</t>
  </si>
  <si>
    <t>Melting_Curves/meltCurve_P31939_2_ATIC.pdf</t>
  </si>
  <si>
    <t>Melting_Curves/meltCurve_P31942_6_HNRNPH3.pdf</t>
  </si>
  <si>
    <t>Melting_Curves/meltCurve_P31944_CASP14.pdf</t>
  </si>
  <si>
    <t>Melting_Curves/meltCurve_P31946_2_YWHAB.pdf</t>
  </si>
  <si>
    <t>Melting_Curves/meltCurve_P31947_2_SFN.pdf</t>
  </si>
  <si>
    <t>Melting_Curves/meltCurve_P31948_STIP1.pdf</t>
  </si>
  <si>
    <t>Melting_Curves/meltCurve_P31949_S100A11.pdf</t>
  </si>
  <si>
    <t>Melting_Curves/meltCurve_P32119_PRDX2.pdf</t>
  </si>
  <si>
    <t>Melting_Curves/meltCurve_P32321_DCTD.pdf</t>
  </si>
  <si>
    <t>Melting_Curves/meltCurve_P33176_KIF5B.pdf</t>
  </si>
  <si>
    <t>Melting_Curves/meltCurve_P33240_2_CSTF2.pdf</t>
  </si>
  <si>
    <t>Melting_Curves/meltCurve_P34059_GALNS.pdf</t>
  </si>
  <si>
    <t>Melting_Curves/meltCurve_P34096_RNASE4.pdf</t>
  </si>
  <si>
    <t>Melting_Curves/meltCurve_P34913_3_EPHX2.pdf</t>
  </si>
  <si>
    <t>Melting_Curves/meltCurve_P34932_HSPA4.pdf</t>
  </si>
  <si>
    <t>Melting_Curves/meltCurve_P35052_GPC1.pdf</t>
  </si>
  <si>
    <t>Melting_Curves/meltCurve_P35237_SERPINB6.pdf</t>
  </si>
  <si>
    <t>Melting_Curves/meltCurve_P35241_RDX.pdf</t>
  </si>
  <si>
    <t>Melting_Curves/meltCurve_P35270_SPR.pdf</t>
  </si>
  <si>
    <t>Melting_Curves/meltCurve_P35398_4_RORA.pdf</t>
  </si>
  <si>
    <t>Melting_Curves/meltCurve_P35443_THBS4.pdf</t>
  </si>
  <si>
    <t>Melting_Curves/meltCurve_P35475_IDUA.pdf</t>
  </si>
  <si>
    <t>Melting_Curves/meltCurve_P35579_MYH9.pdf</t>
  </si>
  <si>
    <t>Melting_Curves/meltCurve_P35580_MYH10.pdf</t>
  </si>
  <si>
    <t>Melting_Curves/meltCurve_P35625_TIMP3.pdf</t>
  </si>
  <si>
    <t>Melting_Curves/meltCurve_P35754_GLRX.pdf</t>
  </si>
  <si>
    <t>Melting_Curves/meltCurve_P35813_PPM1A.pdf</t>
  </si>
  <si>
    <t>Melting_Curves/meltCurve_P35858_IGFALS.pdf</t>
  </si>
  <si>
    <t>Melting_Curves/meltCurve_P35998_PSMC2.pdf</t>
  </si>
  <si>
    <t>Melting_Curves/meltCurve_P36578_RPL4.pdf</t>
  </si>
  <si>
    <t>Melting_Curves/meltCurve_P36871_3_PGM1.pdf</t>
  </si>
  <si>
    <t>Melting_Curves/meltCurve_P36896_5_ACVR1B.pdf</t>
  </si>
  <si>
    <t>Melting_Curves/meltCurve_P36952_2_SERPINB5.pdf</t>
  </si>
  <si>
    <t>Melting_Curves/meltCurve_P36955_SERPINF1.pdf</t>
  </si>
  <si>
    <t>Melting_Curves/meltCurve_P36959_GMPR.pdf</t>
  </si>
  <si>
    <t>Melting_Curves/meltCurve_P36980_2_CFHR2.pdf</t>
  </si>
  <si>
    <t>Melting_Curves/meltCurve_P37108_SRP14.pdf</t>
  </si>
  <si>
    <t>Melting_Curves/meltCurve_P37802_TAGLN2.pdf</t>
  </si>
  <si>
    <t>Melting_Curves/meltCurve_P37837_TALDO1.pdf</t>
  </si>
  <si>
    <t>Melting_Curves/meltCurve_P39060_2_COL18A1.pdf</t>
  </si>
  <si>
    <t>Melting_Curves/meltCurve_P40121_2_CAPG.pdf</t>
  </si>
  <si>
    <t>Melting_Curves/meltCurve_P40189_IL6ST.pdf</t>
  </si>
  <si>
    <t>Melting_Curves/meltCurve_P40227_2_CCT6A.pdf</t>
  </si>
  <si>
    <t>Melting_Curves/meltCurve_P40925_MDH1.pdf</t>
  </si>
  <si>
    <t>Melting_Curves/meltCurve_P40926_2_MDH2.pdf</t>
  </si>
  <si>
    <t>Melting_Curves/meltCurve_P41091_EIF2S3.pdf</t>
  </si>
  <si>
    <t>Melting_Curves/meltCurve_P41218_MNDA.pdf</t>
  </si>
  <si>
    <t>Melting_Curves/meltCurve_P41222_PTGDS.pdf</t>
  </si>
  <si>
    <t>Melting_Curves/meltCurve_P42330_2_AKR1C3.pdf</t>
  </si>
  <si>
    <t>Melting_Curves/meltCurve_P42566_2_EPS15.pdf</t>
  </si>
  <si>
    <t>Melting_Curves/meltCurve_P42702_LIFR.pdf</t>
  </si>
  <si>
    <t>Melting_Curves/meltCurve_P42766_RPL35.pdf</t>
  </si>
  <si>
    <t>Melting_Curves/meltCurve_P42785_PRCP.pdf</t>
  </si>
  <si>
    <t>Melting_Curves/meltCurve_P43251_4_BTD.pdf</t>
  </si>
  <si>
    <t>Melting_Curves/meltCurve_P43490_NAMPT.pdf</t>
  </si>
  <si>
    <t>Melting_Curves/meltCurve_P43652_AFM.pdf</t>
  </si>
  <si>
    <t>Melting_Curves/meltCurve_P45877_PPIC.pdf</t>
  </si>
  <si>
    <t>Melting_Curves/meltCurve_P46108_2_CRK.pdf</t>
  </si>
  <si>
    <t>Melting_Curves/meltCurve_P46109_CRKL.pdf</t>
  </si>
  <si>
    <t>Melting_Curves/meltCurve_P46459_2_NSF.pdf</t>
  </si>
  <si>
    <t>Melting_Curves/meltCurve_P46783_RPS10.pdf</t>
  </si>
  <si>
    <t>Melting_Curves/meltCurve_P46926_GNPDA1.pdf</t>
  </si>
  <si>
    <t>Melting_Curves/meltCurve_P46940_IQGAP1.pdf</t>
  </si>
  <si>
    <t>Melting_Curves/meltCurve_P46976_3_GYG1.pdf</t>
  </si>
  <si>
    <t>Melting_Curves/meltCurve_P47710_4_CSN1S1.pdf</t>
  </si>
  <si>
    <t>Melting_Curves/meltCurve_P47755_CAPZA2.pdf</t>
  </si>
  <si>
    <t>Melting_Curves/meltCurve_P47756_2_CAPZB.pdf</t>
  </si>
  <si>
    <t>Melting_Curves/meltCurve_P47895_ALDH1A3.pdf</t>
  </si>
  <si>
    <t>Melting_Curves/meltCurve_P47914_RPL29.pdf</t>
  </si>
  <si>
    <t>Melting_Curves/meltCurve_P47929_LGALS7.pdf</t>
  </si>
  <si>
    <t>Melting_Curves/meltCurve_P47972_NPTX2.pdf</t>
  </si>
  <si>
    <t>Melting_Curves/meltCurve_P47989_XDH.pdf</t>
  </si>
  <si>
    <t>Melting_Curves/meltCurve_P48059_LIMS1.pdf</t>
  </si>
  <si>
    <t>Melting_Curves/meltCurve_P48307_2_TFPI2.pdf</t>
  </si>
  <si>
    <t>Melting_Curves/meltCurve_P48594_SERPINB4.pdf</t>
  </si>
  <si>
    <t>Melting_Curves/meltCurve_P48634_4_PRRC2A.pdf</t>
  </si>
  <si>
    <t>Melting_Curves/meltCurve_P48637_GSS.pdf</t>
  </si>
  <si>
    <t>Melting_Curves/meltCurve_P48723_HSPA13.pdf</t>
  </si>
  <si>
    <t>Melting_Curves/meltCurve_P48745_NOV.pdf</t>
  </si>
  <si>
    <t>Melting_Curves/meltCurve_P49189_2_ALDH9A1.pdf</t>
  </si>
  <si>
    <t>Melting_Curves/meltCurve_P49221_TGM4.pdf</t>
  </si>
  <si>
    <t>Melting_Curves/meltCurve_P49223_SPINT3.pdf</t>
  </si>
  <si>
    <t>Melting_Curves/meltCurve_P49327_FASN.pdf</t>
  </si>
  <si>
    <t>Melting_Curves/meltCurve_P49354_2_FNTA.pdf</t>
  </si>
  <si>
    <t>Melting_Curves/meltCurve_P49368_2_CCT3.pdf</t>
  </si>
  <si>
    <t>Melting_Curves/meltCurve_P49419_2_ALDH7A1.pdf</t>
  </si>
  <si>
    <t>Melting_Curves/meltCurve_P49591_SARS.pdf</t>
  </si>
  <si>
    <t>Melting_Curves/meltCurve_P49755_TMED10.pdf</t>
  </si>
  <si>
    <t>Melting_Curves/meltCurve_P49765_2_VEGFB.pdf</t>
  </si>
  <si>
    <t>Melting_Curves/meltCurve_P49773_HINT1.pdf</t>
  </si>
  <si>
    <t>Melting_Curves/meltCurve_P49788_2_RARRES1.pdf</t>
  </si>
  <si>
    <t>Melting_Curves/meltCurve_P49908_SELENOP.pdf</t>
  </si>
  <si>
    <t>Melting_Curves/meltCurve_P50281_MMP14.pdf</t>
  </si>
  <si>
    <t>Melting_Curves/meltCurve_P50395_GDI2.pdf</t>
  </si>
  <si>
    <t>Melting_Curves/meltCurve_P50502_ST13.pdf</t>
  </si>
  <si>
    <t>Melting_Curves/meltCurve_P50552_VASP.pdf</t>
  </si>
  <si>
    <t>Melting_Curves/meltCurve_P50570_5_DNM2.pdf</t>
  </si>
  <si>
    <t>Melting_Curves/meltCurve_P50591_TNFSF10.pdf</t>
  </si>
  <si>
    <t>Melting_Curves/meltCurve_P50895_BCAM.pdf</t>
  </si>
  <si>
    <t>Melting_Curves/meltCurve_P50897_PPT1.pdf</t>
  </si>
  <si>
    <t>Melting_Curves/meltCurve_P50990_2_CCT8.pdf</t>
  </si>
  <si>
    <t>Melting_Curves/meltCurve_P50991_2_CCT4.pdf</t>
  </si>
  <si>
    <t>Melting_Curves/meltCurve_P50995_2_ANXA11.pdf</t>
  </si>
  <si>
    <t>Melting_Curves/meltCurve_P51148_RAB5C.pdf</t>
  </si>
  <si>
    <t>Melting_Curves/meltCurve_P51149_RAB7A.pdf</t>
  </si>
  <si>
    <t>Melting_Curves/meltCurve_P51159_2_RAB27A.pdf</t>
  </si>
  <si>
    <t>Melting_Curves/meltCurve_P51452_2_DUSP3.pdf</t>
  </si>
  <si>
    <t>Melting_Curves/meltCurve_P51511_MMP15.pdf</t>
  </si>
  <si>
    <t>Melting_Curves/meltCurve_P51688_SGSH.pdf</t>
  </si>
  <si>
    <t>Melting_Curves/meltCurve_P51815_ZNF75D.pdf</t>
  </si>
  <si>
    <t>Melting_Curves/meltCurve_P52209_2_PGD.pdf</t>
  </si>
  <si>
    <t>Melting_Curves/meltCurve_P52565_ARHGDIA.pdf</t>
  </si>
  <si>
    <t>Melting_Curves/meltCurve_P52566_ARHGDIB.pdf</t>
  </si>
  <si>
    <t>Melting_Curves/meltCurve_P52758_RIDA.pdf</t>
  </si>
  <si>
    <t>Melting_Curves/meltCurve_P52788_SMS.pdf</t>
  </si>
  <si>
    <t>Melting_Curves/meltCurve_P52799_EFNB2.pdf</t>
  </si>
  <si>
    <t>Melting_Curves/meltCurve_P52823_2_STC1.pdf</t>
  </si>
  <si>
    <t>Melting_Curves/meltCurve_P52907_CAPZA1.pdf</t>
  </si>
  <si>
    <t>Melting_Curves/meltCurve_P52943_CRIP2.pdf</t>
  </si>
  <si>
    <t>Melting_Curves/meltCurve_P53004_BLVRA.pdf</t>
  </si>
  <si>
    <t>Melting_Curves/meltCurve_P53367_ARFIP1.pdf</t>
  </si>
  <si>
    <t>Melting_Curves/meltCurve_P53396_2_ACLY.pdf</t>
  </si>
  <si>
    <t>Melting_Curves/meltCurve_P53634_CTSC.pdf</t>
  </si>
  <si>
    <t>Melting_Curves/meltCurve_P53801_PTTG1IP.pdf</t>
  </si>
  <si>
    <t>Melting_Curves/meltCurve_P54107_CRISP1.pdf</t>
  </si>
  <si>
    <t>Melting_Curves/meltCurve_P54108_CRISP3.pdf</t>
  </si>
  <si>
    <t>Melting_Curves/meltCurve_P54289_4_CACNA2D1.pdf</t>
  </si>
  <si>
    <t>Melting_Curves/meltCurve_P54578_2_USP14.pdf</t>
  </si>
  <si>
    <t>Melting_Curves/meltCurve_P54725_2_RAD23A.pdf</t>
  </si>
  <si>
    <t>Melting_Curves/meltCurve_P54727_RAD23B.pdf</t>
  </si>
  <si>
    <t>Melting_Curves/meltCurve_P54756_2_EPHA5.pdf</t>
  </si>
  <si>
    <t>Melting_Curves/meltCurve_P54760_4_EPHB4.pdf</t>
  </si>
  <si>
    <t>Melting_Curves/meltCurve_P54802_NAGLU.pdf</t>
  </si>
  <si>
    <t>Melting_Curves/meltCurve_P54819_3_AK2.pdf</t>
  </si>
  <si>
    <t>Melting_Curves/meltCurve_P54826_GAS1.pdf</t>
  </si>
  <si>
    <t>Melting_Curves/meltCurve_P54920_NAPA.pdf</t>
  </si>
  <si>
    <t>Melting_Curves/meltCurve_P55036_2_PSMD4.pdf</t>
  </si>
  <si>
    <t>Melting_Curves/meltCurve_P55058_3_PLTP.pdf</t>
  </si>
  <si>
    <t>Melting_Curves/meltCurve_P55072_VCP.pdf</t>
  </si>
  <si>
    <t>Melting_Curves/meltCurve_P55145_MANF.pdf</t>
  </si>
  <si>
    <t>Melting_Curves/meltCurve_P55209_3_NAP1L1.pdf</t>
  </si>
  <si>
    <t>Melting_Curves/meltCurve_P55259_3_GP2.pdf</t>
  </si>
  <si>
    <t>Melting_Curves/meltCurve_P55268_LAMB2.pdf</t>
  </si>
  <si>
    <t>Melting_Curves/meltCurve_P55327_2_TPD52.pdf</t>
  </si>
  <si>
    <t>Melting_Curves/meltCurve_P55786_NPEPPS.pdf</t>
  </si>
  <si>
    <t>Melting_Curves/meltCurve_P55957_BID.pdf</t>
  </si>
  <si>
    <t>Melting_Curves/meltCurve_P56851_EDDM3B.pdf</t>
  </si>
  <si>
    <t>Melting_Curves/meltCurve_P58499_FAM3B.pdf</t>
  </si>
  <si>
    <t>Melting_Curves/meltCurve_P58546_MTPN.pdf</t>
  </si>
  <si>
    <t>Melting_Curves/meltCurve_P59666_DEFA3.pdf</t>
  </si>
  <si>
    <t>Melting_Curves/meltCurve_P59861_DEFB131.pdf</t>
  </si>
  <si>
    <t>Melting_Curves/meltCurve_P59998_4_ARPC4.pdf</t>
  </si>
  <si>
    <t>Melting_Curves/meltCurve_P60022_DEFB1.pdf</t>
  </si>
  <si>
    <t>Melting_Curves/meltCurve_P60028_GDI1.pdf</t>
  </si>
  <si>
    <t>Melting_Curves/meltCurve_P60174_1_TPI1.pdf</t>
  </si>
  <si>
    <t>Melting_Curves/meltCurve_P60660_2_MYL6.pdf</t>
  </si>
  <si>
    <t>Melting_Curves/meltCurve_P60842_EIF4A1.pdf</t>
  </si>
  <si>
    <t>Melting_Curves/meltCurve_P60900_PSMA6.pdf</t>
  </si>
  <si>
    <t>Melting_Curves/meltCurve_P60903_S100A10.pdf</t>
  </si>
  <si>
    <t>Melting_Curves/meltCurve_P60953_1_CDC42.pdf</t>
  </si>
  <si>
    <t>Melting_Curves/meltCurve_P61020_RAB5B.pdf</t>
  </si>
  <si>
    <t>Melting_Curves/meltCurve_P61088_UBE2N.pdf</t>
  </si>
  <si>
    <t>Melting_Curves/meltCurve_P61163_ACTR1A.pdf</t>
  </si>
  <si>
    <t>Melting_Curves/meltCurve_P61457_PCBD1.pdf</t>
  </si>
  <si>
    <t>Melting_Curves/meltCurve_P61604_HSPE1.pdf</t>
  </si>
  <si>
    <t>Melting_Curves/meltCurve_P61626_LYZ.pdf</t>
  </si>
  <si>
    <t>Melting_Curves/meltCurve_P61769_B2M.pdf</t>
  </si>
  <si>
    <t>Melting_Curves/meltCurve_P61916_NPC2.pdf</t>
  </si>
  <si>
    <t>Melting_Curves/meltCurve_P61923_5_COPZ1.pdf</t>
  </si>
  <si>
    <t>Melting_Curves/meltCurve_P61956_2_SUMO2.pdf</t>
  </si>
  <si>
    <t>Melting_Curves/meltCurve_P61960_UFM1.pdf</t>
  </si>
  <si>
    <t>Melting_Curves/meltCurve_P61970_NUTF2.pdf</t>
  </si>
  <si>
    <t>Melting_Curves/meltCurve_P61981_YWHAG.pdf</t>
  </si>
  <si>
    <t>Melting_Curves/meltCurve_P62195_2_PSMC5.pdf</t>
  </si>
  <si>
    <t>Melting_Curves/meltCurve_P62249_RPS16.pdf</t>
  </si>
  <si>
    <t>Melting_Curves/meltCurve_P62258_YWHAE.pdf</t>
  </si>
  <si>
    <t>Melting_Curves/meltCurve_P62263_RPS14.pdf</t>
  </si>
  <si>
    <t>Melting_Curves/meltCurve_P62280_RPS11.pdf</t>
  </si>
  <si>
    <t>Melting_Curves/meltCurve_P62310_LSM3.pdf</t>
  </si>
  <si>
    <t>Melting_Curves/meltCurve_P62328_TMSB4X.pdf</t>
  </si>
  <si>
    <t>Melting_Curves/meltCurve_P62491_2_RAB11A.pdf</t>
  </si>
  <si>
    <t>Melting_Curves/meltCurve_P62495_2_ETF1.pdf</t>
  </si>
  <si>
    <t>Melting_Curves/meltCurve_P62633_2_CNBP.pdf</t>
  </si>
  <si>
    <t>Melting_Curves/meltCurve_P62805_HIST1H4A.pdf</t>
  </si>
  <si>
    <t>Melting_Curves/meltCurve_P62820_3_RAB1A.pdf</t>
  </si>
  <si>
    <t>Melting_Curves/meltCurve_P62857_RPS28.pdf</t>
  </si>
  <si>
    <t>Melting_Curves/meltCurve_P62861_FAU.pdf</t>
  </si>
  <si>
    <t>Melting_Curves/meltCurve_P62888_RPL30.pdf</t>
  </si>
  <si>
    <t>Melting_Curves/meltCurve_P62913_2_RPL11.pdf</t>
  </si>
  <si>
    <t>Melting_Curves/meltCurve_P62937_PPIA.pdf</t>
  </si>
  <si>
    <t>Melting_Curves/meltCurve_P62942_FKBP1A.pdf</t>
  </si>
  <si>
    <t>Melting_Curves/meltCurve_P62987_UBA52.pdf</t>
  </si>
  <si>
    <t>Melting_Curves/meltCurve_P63000_RAC1.pdf</t>
  </si>
  <si>
    <t>Melting_Curves/meltCurve_P63010_3_AP2B1.pdf</t>
  </si>
  <si>
    <t>Melting_Curves/meltCurve_P63104_YWHAZ.pdf</t>
  </si>
  <si>
    <t>Melting_Curves/meltCurve_P63173_RPL38.pdf</t>
  </si>
  <si>
    <t>Melting_Curves/meltCurve_P63208_SKP1.pdf</t>
  </si>
  <si>
    <t>Melting_Curves/meltCurve_P63220_RPS21.pdf</t>
  </si>
  <si>
    <t>Melting_Curves/meltCurve_P63241_EIF5A.pdf</t>
  </si>
  <si>
    <t>Melting_Curves/meltCurve_P63244_RACK1.pdf</t>
  </si>
  <si>
    <t>Melting_Curves/meltCurve_P63261_ACTG1.pdf</t>
  </si>
  <si>
    <t>Melting_Curves/meltCurve_P63267_ACTG2.pdf</t>
  </si>
  <si>
    <t>Melting_Curves/meltCurve_P67809_YBX1.pdf</t>
  </si>
  <si>
    <t>Melting_Curves/meltCurve_P67936_2_TPM4.pdf</t>
  </si>
  <si>
    <t>Melting_Curves/meltCurve_P68366_2_TUBA4A.pdf</t>
  </si>
  <si>
    <t>Melting_Curves/meltCurve_P68402_3_PAFAH1B2.pdf</t>
  </si>
  <si>
    <t>Melting_Curves/meltCurve_P68871_HBB.pdf</t>
  </si>
  <si>
    <t>Melting_Curves/meltCurve_P78371_2_CCT2.pdf</t>
  </si>
  <si>
    <t>Melting_Curves/meltCurve_P78417_GSTO1.pdf</t>
  </si>
  <si>
    <t>Melting_Curves/meltCurve_P78537_2_BLOC1S1.pdf</t>
  </si>
  <si>
    <t>Melting_Curves/meltCurve_P78539_4_SRPX.pdf</t>
  </si>
  <si>
    <t>Melting_Curves/meltCurve_P80162_CXCL6.pdf</t>
  </si>
  <si>
    <t>Melting_Curves/meltCurve_P80188_LCN2.pdf</t>
  </si>
  <si>
    <t>Melting_Curves/meltCurve_P80303_NUCB2.pdf</t>
  </si>
  <si>
    <t>Melting_Curves/meltCurve_P80511_S100A12.pdf</t>
  </si>
  <si>
    <t>Melting_Curves/meltCurve_P80723_BASP1.pdf</t>
  </si>
  <si>
    <t>Melting_Curves/meltCurve_P81605_DCD.pdf</t>
  </si>
  <si>
    <t>Melting_Curves/meltCurve_P81605_2_DCD.pdf</t>
  </si>
  <si>
    <t>Melting_Curves/meltCurve_P83731_RPL24.pdf</t>
  </si>
  <si>
    <t>Melting_Curves/meltCurve_P98095_FBLN2.pdf</t>
  </si>
  <si>
    <t>Melting_Curves/meltCurve_P98160_HSPG2.pdf</t>
  </si>
  <si>
    <t>Melting_Curves/meltCurve_P98172_EFNB1.pdf</t>
  </si>
  <si>
    <t>Melting_Curves/meltCurve_Q00688_FKBP3.pdf</t>
  </si>
  <si>
    <t>Melting_Curves/meltCurve_Q00796_SORD.pdf</t>
  </si>
  <si>
    <t>Melting_Curves/meltCurve_Q01082_SPTBN1.pdf</t>
  </si>
  <si>
    <t>Melting_Curves/meltCurve_Q01459_CTBS.pdf</t>
  </si>
  <si>
    <t>Melting_Curves/meltCurve_Q01469_FABP5.pdf</t>
  </si>
  <si>
    <t>Melting_Curves/meltCurve_Q01518_2_CAP1.pdf</t>
  </si>
  <si>
    <t>Melting_Curves/meltCurve_Q01638_2_IL1RL1.pdf</t>
  </si>
  <si>
    <t>Melting_Curves/meltCurve_Q01974_ROR2.pdf</t>
  </si>
  <si>
    <t>Melting_Curves/meltCurve_Q02083_2_NAAA.pdf</t>
  </si>
  <si>
    <t>Melting_Curves/meltCurve_Q02383_SEMG2.pdf</t>
  </si>
  <si>
    <t>Melting_Curves/meltCurve_Q02413_DSG1.pdf</t>
  </si>
  <si>
    <t>Melting_Curves/meltCurve_Q02487_2_DSC2.pdf</t>
  </si>
  <si>
    <t>Melting_Curves/meltCurve_Q02790_FKBP4.pdf</t>
  </si>
  <si>
    <t>Melting_Curves/meltCurve_Q02809_PLOD1.pdf</t>
  </si>
  <si>
    <t>Melting_Curves/meltCurve_Q02818_NUCB1.pdf</t>
  </si>
  <si>
    <t>Melting_Curves/meltCurve_Q02878_RPL6.pdf</t>
  </si>
  <si>
    <t>Melting_Curves/meltCurve_Q03167_2_TGFBR3.pdf</t>
  </si>
  <si>
    <t>Melting_Curves/meltCurve_Q03393_PTS.pdf</t>
  </si>
  <si>
    <t>Melting_Curves/meltCurve_Q03405_2_PLAUR.pdf</t>
  </si>
  <si>
    <t>Melting_Curves/meltCurve_Q03591_CFHR1.pdf</t>
  </si>
  <si>
    <t>Melting_Curves/meltCurve_Q04609_6_FOLH1.pdf</t>
  </si>
  <si>
    <t>Melting_Curves/meltCurve_Q04637_6_EIF4G1.pdf</t>
  </si>
  <si>
    <t>Melting_Curves/meltCurve_Q04756_HGFAC.pdf</t>
  </si>
  <si>
    <t>Melting_Curves/meltCurve_Q04760_2_GLO1.pdf</t>
  </si>
  <si>
    <t>Melting_Curves/meltCurve_Q04771_ACVR1.pdf</t>
  </si>
  <si>
    <t>Melting_Curves/meltCurve_Q04917_YWHAH.pdf</t>
  </si>
  <si>
    <t>Melting_Curves/meltCurve_Q05397_6_PTK2.pdf</t>
  </si>
  <si>
    <t>Melting_Curves/meltCurve_Q06210_2_GFPT1.pdf</t>
  </si>
  <si>
    <t>Melting_Curves/meltCurve_Q06323_3_PSME1.pdf</t>
  </si>
  <si>
    <t>Melting_Curves/meltCurve_Q06481_4_APLP2.pdf</t>
  </si>
  <si>
    <t>Melting_Curves/meltCurve_Q06828_FMOD.pdf</t>
  </si>
  <si>
    <t>Melting_Curves/meltCurve_Q06830_PRDX1.pdf</t>
  </si>
  <si>
    <t>Melting_Curves/meltCurve_Q07020_2_RPL18.pdf</t>
  </si>
  <si>
    <t>Melting_Curves/meltCurve_Q07654_TFF3.pdf</t>
  </si>
  <si>
    <t>Melting_Curves/meltCurve_Q07812_5_BAX.pdf</t>
  </si>
  <si>
    <t>Melting_Curves/meltCurve_Q08174_PCDH1.pdf</t>
  </si>
  <si>
    <t>Melting_Curves/meltCurve_Q08209_4_PPP3CA.pdf</t>
  </si>
  <si>
    <t>Melting_Curves/meltCurve_Q08257_3_CRYZ.pdf</t>
  </si>
  <si>
    <t>Melting_Curves/meltCurve_Q08345_2_DDR1.pdf</t>
  </si>
  <si>
    <t>Melting_Curves/meltCurve_Q08378_4_GOLGA3.pdf</t>
  </si>
  <si>
    <t>Melting_Curves/meltCurve_Q08380_LGALS3BP.pdf</t>
  </si>
  <si>
    <t>Melting_Curves/meltCurve_Q08554_2_DSC1.pdf</t>
  </si>
  <si>
    <t>Melting_Curves/meltCurve_Q08629_SPOCK1.pdf</t>
  </si>
  <si>
    <t>Melting_Curves/meltCurve_Q09666_AHNAK.pdf</t>
  </si>
  <si>
    <t>Melting_Curves/meltCurve_Q10469_MGAT2.pdf</t>
  </si>
  <si>
    <t>Melting_Curves/meltCurve_Q10471_GALNT2.pdf</t>
  </si>
  <si>
    <t>Melting_Curves/meltCurve_Q10472_GALNT1.pdf</t>
  </si>
  <si>
    <t>Melting_Curves/meltCurve_Q10567_3_AP1B1.pdf</t>
  </si>
  <si>
    <t>Melting_Curves/meltCurve_Q12792_4_TWF1.pdf</t>
  </si>
  <si>
    <t>Melting_Curves/meltCurve_Q12805_2_EFEMP1.pdf</t>
  </si>
  <si>
    <t>Melting_Curves/meltCurve_Q12841_FSTL1.pdf</t>
  </si>
  <si>
    <t>Melting_Curves/meltCurve_Q12866_MERTK.pdf</t>
  </si>
  <si>
    <t>Melting_Curves/meltCurve_Q12882_2_DPYD.pdf</t>
  </si>
  <si>
    <t>Melting_Curves/meltCurve_Q12907_LMAN2.pdf</t>
  </si>
  <si>
    <t>Melting_Curves/meltCurve_Q12913_2_PTPRJ.pdf</t>
  </si>
  <si>
    <t>Melting_Curves/meltCurve_Q12965_MYO1E.pdf</t>
  </si>
  <si>
    <t>Melting_Curves/meltCurve_Q13045_2_FLII.pdf</t>
  </si>
  <si>
    <t>Melting_Curves/meltCurve_Q13126_7_MTAP.pdf</t>
  </si>
  <si>
    <t>Melting_Curves/meltCurve_Q13162_PRDX4.pdf</t>
  </si>
  <si>
    <t>Melting_Curves/meltCurve_Q13214_2_SEMA3B.pdf</t>
  </si>
  <si>
    <t>Melting_Curves/meltCurve_Q13217_DNAJC3.pdf</t>
  </si>
  <si>
    <t>Melting_Curves/meltCurve_Q13228_SELENBP1.pdf</t>
  </si>
  <si>
    <t>Melting_Curves/meltCurve_Q13231_2_CHIT1.pdf</t>
  </si>
  <si>
    <t>Melting_Curves/meltCurve_Q13232_NME3.pdf</t>
  </si>
  <si>
    <t>Melting_Curves/meltCurve_Q13237_2_PRKG2.pdf</t>
  </si>
  <si>
    <t>Melting_Curves/meltCurve_Q13275_SEMA3F.pdf</t>
  </si>
  <si>
    <t>Melting_Curves/meltCurve_Q13308_5_PTK7.pdf</t>
  </si>
  <si>
    <t>Melting_Curves/meltCurve_Q13332_6_PTPRS.pdf</t>
  </si>
  <si>
    <t>Melting_Curves/meltCurve_Q13404_UBE2V1.pdf</t>
  </si>
  <si>
    <t>Melting_Curves/meltCurve_Q13421_MSLN.pdf</t>
  </si>
  <si>
    <t>Melting_Curves/meltCurve_Q13421_4_MSLN.pdf</t>
  </si>
  <si>
    <t>Melting_Curves/meltCurve_Q13438_OS9.pdf</t>
  </si>
  <si>
    <t>Melting_Curves/meltCurve_Q13442_PDAP1.pdf</t>
  </si>
  <si>
    <t>Melting_Curves/meltCurve_Q13443_2_ADAM9.pdf</t>
  </si>
  <si>
    <t>Melting_Curves/meltCurve_Q13444_10_ADAM15.pdf</t>
  </si>
  <si>
    <t>Melting_Curves/meltCurve_Q13449_LSAMP.pdf</t>
  </si>
  <si>
    <t>Melting_Curves/meltCurve_Q13510_ASAH1.pdf</t>
  </si>
  <si>
    <t>Melting_Curves/meltCurve_Q13561_DCTN2.pdf</t>
  </si>
  <si>
    <t>Melting_Curves/meltCurve_Q13740_2_ALCAM.pdf</t>
  </si>
  <si>
    <t>Melting_Curves/meltCurve_Q13813_3_SPTAN1.pdf</t>
  </si>
  <si>
    <t>Melting_Curves/meltCurve_Q13938_3_CAPS.pdf</t>
  </si>
  <si>
    <t>Melting_Curves/meltCurve_Q14005_4_IL16.pdf</t>
  </si>
  <si>
    <t>Melting_Curves/meltCurve_Q14008_2_CKAP5.pdf</t>
  </si>
  <si>
    <t>Melting_Curves/meltCurve_Q14019_COTL1.pdf</t>
  </si>
  <si>
    <t>Melting_Curves/meltCurve_Q14055_COL9A2.pdf</t>
  </si>
  <si>
    <t>Melting_Curves/meltCurve_Q14112_2_NID2.pdf</t>
  </si>
  <si>
    <t>Melting_Curves/meltCurve_Q14118_DAG1.pdf</t>
  </si>
  <si>
    <t>Melting_Curves/meltCurve_Q14126_DSG2.pdf</t>
  </si>
  <si>
    <t>Melting_Curves/meltCurve_Q14195_DPYSL3.pdf</t>
  </si>
  <si>
    <t>Melting_Curves/meltCurve_Q14240_EIF4A2.pdf</t>
  </si>
  <si>
    <t>Melting_Curves/meltCurve_Q14247_3_CTTN.pdf</t>
  </si>
  <si>
    <t>Melting_Curves/meltCurve_Q14314_FGL2.pdf</t>
  </si>
  <si>
    <t>Melting_Curves/meltCurve_Q14393_3_GAS6.pdf</t>
  </si>
  <si>
    <t>Melting_Curves/meltCurve_Q14507_EDDM3A.pdf</t>
  </si>
  <si>
    <t>Melting_Curves/meltCurve_Q14508_WFDC2.pdf</t>
  </si>
  <si>
    <t>Melting_Curves/meltCurve_Q14515_2_SPARCL1.pdf</t>
  </si>
  <si>
    <t>Melting_Curves/meltCurve_Q14574_2_DSC3.pdf</t>
  </si>
  <si>
    <t>Melting_Curves/meltCurve_Q14624_4_ITIH4.pdf</t>
  </si>
  <si>
    <t>Melting_Curves/meltCurve_Q14689_3_DIP2A.pdf</t>
  </si>
  <si>
    <t>Melting_Curves/meltCurve_Q14697_GANAB.pdf</t>
  </si>
  <si>
    <t>Melting_Curves/meltCurve_Q14766_2_LTBP1.pdf</t>
  </si>
  <si>
    <t>Melting_Curves/meltCurve_Q14847_LASP1.pdf</t>
  </si>
  <si>
    <t>Melting_Curves/meltCurve_Q14914_2_PTGR1.pdf</t>
  </si>
  <si>
    <t>Melting_Curves/meltCurve_Q14974_KPNB1.pdf</t>
  </si>
  <si>
    <t>Melting_Curves/meltCurve_Q15008_PSMD6.pdf</t>
  </si>
  <si>
    <t>Melting_Curves/meltCurve_Q15056_2_EIF4H.pdf</t>
  </si>
  <si>
    <t>Melting_Curves/meltCurve_Q15075_EEA1.pdf</t>
  </si>
  <si>
    <t>Melting_Curves/meltCurve_Q15084_3_PDIA6.pdf</t>
  </si>
  <si>
    <t>Melting_Curves/meltCurve_Q15113_PCOLCE.pdf</t>
  </si>
  <si>
    <t>Melting_Curves/meltCurve_Q15121_PEA15.pdf</t>
  </si>
  <si>
    <t>Melting_Curves/meltCurve_Q15149_7_PLEC.pdf</t>
  </si>
  <si>
    <t>Melting_Curves/meltCurve_Q15166_PON3.pdf</t>
  </si>
  <si>
    <t>Melting_Curves/meltCurve_Q15185_3_PTGES3.pdf</t>
  </si>
  <si>
    <t>Melting_Curves/meltCurve_Q15223_3_NECTIN1.pdf</t>
  </si>
  <si>
    <t>Melting_Curves/meltCurve_Q15257_4_PTPA.pdf</t>
  </si>
  <si>
    <t>Melting_Curves/meltCurve_Q15293_RCN1.pdf</t>
  </si>
  <si>
    <t>Melting_Curves/meltCurve_Q15311_RALBP1.pdf</t>
  </si>
  <si>
    <t>Melting_Curves/meltCurve_Q15365_PCBP1.pdf</t>
  </si>
  <si>
    <t>Melting_Curves/meltCurve_Q15389_2_ANGPT1.pdf</t>
  </si>
  <si>
    <t>Melting_Curves/meltCurve_Q15404_2_RSU1.pdf</t>
  </si>
  <si>
    <t>Melting_Curves/meltCurve_Q15517_CDSN.pdf</t>
  </si>
  <si>
    <t>Melting_Curves/meltCurve_Q15631_TSN.pdf</t>
  </si>
  <si>
    <t>Melting_Curves/meltCurve_Q15691_MAPRE1.pdf</t>
  </si>
  <si>
    <t>Melting_Curves/meltCurve_Q15819_UBE2V2.pdf</t>
  </si>
  <si>
    <t>Melting_Curves/meltCurve_Q15828_CST6.pdf</t>
  </si>
  <si>
    <t>Melting_Curves/meltCurve_Q15843_NEDD8.pdf</t>
  </si>
  <si>
    <t>Melting_Curves/meltCurve_Q15847_ADIRF.pdf</t>
  </si>
  <si>
    <t>Melting_Curves/meltCurve_Q15904_ATP6AP1.pdf</t>
  </si>
  <si>
    <t>Melting_Curves/meltCurve_Q16204_CCDC6.pdf</t>
  </si>
  <si>
    <t>Melting_Curves/meltCurve_Q16270_2_IGFBP7.pdf</t>
  </si>
  <si>
    <t>Melting_Curves/meltCurve_Q16378_PRR4.pdf</t>
  </si>
  <si>
    <t>Melting_Curves/meltCurve_Q16531_DDB1.pdf</t>
  </si>
  <si>
    <t>Melting_Curves/meltCurve_Q16543_CDC37.pdf</t>
  </si>
  <si>
    <t>Melting_Curves/meltCurve_Q16568_CARTPT.pdf</t>
  </si>
  <si>
    <t>Melting_Curves/meltCurve_Q16610_ECM1.pdf</t>
  </si>
  <si>
    <t>Melting_Curves/meltCurve_Q16651_PRSS8.pdf</t>
  </si>
  <si>
    <t>Melting_Curves/meltCurve_Q16706_MAN2A1.pdf</t>
  </si>
  <si>
    <t>Melting_Curves/meltCurve_Q16769_2_QPCT.pdf</t>
  </si>
  <si>
    <t>Melting_Curves/meltCurve_Q16851_2_UGP2.pdf</t>
  </si>
  <si>
    <t>Melting_Curves/meltCurve_Q16881_7_TXNRD1.pdf</t>
  </si>
  <si>
    <t>Melting_Curves/meltCurve_Q16890_4_TPD52L1.pdf</t>
  </si>
  <si>
    <t>Melting_Curves/meltCurve_Q1W4C9_SPINK13.pdf</t>
  </si>
  <si>
    <t>Melting_Curves/meltCurve_Q24JP5_TMEM132A.pdf</t>
  </si>
  <si>
    <t>Melting_Curves/meltCurve_Q29963_HLA_C.pdf</t>
  </si>
  <si>
    <t>Melting_Curves/meltCurve_Q2KJY2_2_KIF26B.pdf</t>
  </si>
  <si>
    <t>Melting_Curves/meltCurve_Q2M2I8_2_AAK1.pdf</t>
  </si>
  <si>
    <t>Melting_Curves/meltCurve_Q3YEC7_RABL6.pdf</t>
  </si>
  <si>
    <t>Melting_Curves/meltCurve_Q495W5_2_FUT11.pdf</t>
  </si>
  <si>
    <t>Melting_Curves/meltCurve_Q53FA7_TP53I3.pdf</t>
  </si>
  <si>
    <t>Melting_Curves/meltCurve_Q53H76_4_PLA1A.pdf</t>
  </si>
  <si>
    <t>Melting_Curves/meltCurve_Q53RD9_4_FBLN7.pdf</t>
  </si>
  <si>
    <t>Melting_Curves/meltCurve_Q53T59_HS1BP3.pdf</t>
  </si>
  <si>
    <t>Melting_Curves/meltCurve_Q58EX2_2_SDK2.pdf</t>
  </si>
  <si>
    <t>Melting_Curves/meltCurve_Q5GFL6_3_VWA2.pdf</t>
  </si>
  <si>
    <t>Melting_Curves/meltCurve_Q5IS74_TPP1.pdf</t>
  </si>
  <si>
    <t>Melting_Curves/meltCurve_Q5IS80_APP.pdf</t>
  </si>
  <si>
    <t>Melting_Curves/meltCurve_Q5JPE7_3_NOMO2.pdf</t>
  </si>
  <si>
    <t>Melting_Curves/meltCurve_Q5JRA6_2_MIA3.pdf</t>
  </si>
  <si>
    <t>Melting_Curves/meltCurve_Q5JS37_2_NHLRC3.pdf</t>
  </si>
  <si>
    <t>Melting_Curves/meltCurve_Q5KU26_COLEC12.pdf</t>
  </si>
  <si>
    <t>Melting_Curves/meltCurve_Q5SRE7_2_PHYHD1.pdf</t>
  </si>
  <si>
    <t>Melting_Curves/meltCurve_Q5T749_KPRP.pdf</t>
  </si>
  <si>
    <t>Melting_Curves/meltCurve_Q5TDH0_DDI2.pdf</t>
  </si>
  <si>
    <t>Melting_Curves/meltCurve_Q5TZA2_2_CROCC.pdf</t>
  </si>
  <si>
    <t>Melting_Curves/meltCurve_Q5VTE0_EEF1A1P5.pdf</t>
  </si>
  <si>
    <t>Melting_Curves/meltCurve_Q5ZPR3_2_CD276.pdf</t>
  </si>
  <si>
    <t>Melting_Curves/meltCurve_Q66GS9_CEP135.pdf</t>
  </si>
  <si>
    <t>Melting_Curves/meltCurve_Q66K79_2_CPZ.pdf</t>
  </si>
  <si>
    <t>Melting_Curves/meltCurve_Q68D85_NCR3LG1.pdf</t>
  </si>
  <si>
    <t>Melting_Curves/meltCurve_Q6AI12_ANKRD40.pdf</t>
  </si>
  <si>
    <t>Melting_Curves/meltCurve_Q6DN90_2_IQSEC1.pdf</t>
  </si>
  <si>
    <t>Melting_Curves/meltCurve_Q6EMK4_VASN.pdf</t>
  </si>
  <si>
    <t>Melting_Curves/meltCurve_Q6GYQ0_3_RALGAPA1.pdf</t>
  </si>
  <si>
    <t>Melting_Curves/meltCurve_Q6IPM2_4_IQCE.pdf</t>
  </si>
  <si>
    <t>Melting_Curves/meltCurve_Q6NUS6_2_TCTN3.pdf</t>
  </si>
  <si>
    <t>Melting_Curves/meltCurve_Q6NW40_RGMB.pdf</t>
  </si>
  <si>
    <t>Melting_Curves/meltCurve_Q6NXT2_H3F3C.pdf</t>
  </si>
  <si>
    <t>Melting_Curves/meltCurve_Q6P4E1_2_CASC4.pdf</t>
  </si>
  <si>
    <t>Melting_Curves/meltCurve_Q6P531_2_GGT6.pdf</t>
  </si>
  <si>
    <t>Melting_Curves/meltCurve_Q6P5S2_LEG1.pdf</t>
  </si>
  <si>
    <t>Melting_Curves/meltCurve_Q6PCB0_VWA1.pdf</t>
  </si>
  <si>
    <t>Melting_Curves/meltCurve_Q6TDU7_4_CASC1.pdf</t>
  </si>
  <si>
    <t>Melting_Curves/meltCurve_Q6ULP2_5_AFTPH.pdf</t>
  </si>
  <si>
    <t>Melting_Curves/meltCurve_Q6UWP8_SBSN.pdf</t>
  </si>
  <si>
    <t>Melting_Curves/meltCurve_Q6UWW0_LCN15.pdf</t>
  </si>
  <si>
    <t>Melting_Curves/meltCurve_Q6UX06_OLFM4.pdf</t>
  </si>
  <si>
    <t>Melting_Curves/meltCurve_Q6UX71_2_PLXDC2.pdf</t>
  </si>
  <si>
    <t>Melting_Curves/meltCurve_Q6UXD5_6_SEZ6L2.pdf</t>
  </si>
  <si>
    <t>Melting_Curves/meltCurve_Q6UXI9_NPNT.pdf</t>
  </si>
  <si>
    <t>Melting_Curves/meltCurve_Q6UXK5_LRRN1.pdf</t>
  </si>
  <si>
    <t>Melting_Curves/meltCurve_Q6UXY1_2_BAIAP2L2.pdf</t>
  </si>
  <si>
    <t>Melting_Curves/meltCurve_Q6UY27_PATE2.pdf</t>
  </si>
  <si>
    <t>Melting_Curves/meltCurve_Q6W4X9_MUC6.pdf</t>
  </si>
  <si>
    <t>Melting_Curves/meltCurve_Q6WN34_CHRDL2.pdf</t>
  </si>
  <si>
    <t>Melting_Curves/meltCurve_Q6XQN6_NAPRT.pdf</t>
  </si>
  <si>
    <t>Melting_Curves/meltCurve_Q6Y7W6_4_GIGYF2.pdf</t>
  </si>
  <si>
    <t>Melting_Curves/meltCurve_Q6YHK3_CD109.pdf</t>
  </si>
  <si>
    <t>Melting_Curves/meltCurve_Q6ZMP0_THSD4.pdf</t>
  </si>
  <si>
    <t>Melting_Curves/meltCurve_Q6ZRQ5_MMS22L.pdf</t>
  </si>
  <si>
    <t>Melting_Curves/meltCurve_Q6ZSR9_.pdf</t>
  </si>
  <si>
    <t>Melting_Curves/meltCurve_Q6ZSS7_MFSD6.pdf</t>
  </si>
  <si>
    <t>Melting_Curves/meltCurve_Q6ZVM7_4_TOM1L2.pdf</t>
  </si>
  <si>
    <t>Melting_Curves/meltCurve_Q71U36_2_TUBA1A.pdf</t>
  </si>
  <si>
    <t>Melting_Curves/meltCurve_Q7L1Q6_2_BZW1.pdf</t>
  </si>
  <si>
    <t>Melting_Curves/meltCurve_Q7L266_ASRGL1.pdf</t>
  </si>
  <si>
    <t>Melting_Curves/meltCurve_Q7L3B6_CDC37L1.pdf</t>
  </si>
  <si>
    <t>Melting_Curves/meltCurve_Q7L5N1_COPS6.pdf</t>
  </si>
  <si>
    <t>Melting_Curves/meltCurve_Q7L804_RAB11FIP2.pdf</t>
  </si>
  <si>
    <t>Melting_Curves/meltCurve_Q7Z304_MAMDC2.pdf</t>
  </si>
  <si>
    <t>Melting_Curves/meltCurve_Q7Z4H3_2_HDDC2.pdf</t>
  </si>
  <si>
    <t>Melting_Curves/meltCurve_Q7Z4W1_DCXR.pdf</t>
  </si>
  <si>
    <t>Melting_Curves/meltCurve_Q7Z7H5_3_TMED4.pdf</t>
  </si>
  <si>
    <t>Melting_Curves/meltCurve_Q7Z7M0_2_MEGF8.pdf</t>
  </si>
  <si>
    <t>Melting_Curves/meltCurve_Q80910_E2.pdf</t>
  </si>
  <si>
    <t>Melting_Curves/meltCurve_Q86194_.pdf</t>
  </si>
  <si>
    <t>Melting_Curves/meltCurve_Q86SQ4_2_ADGRG6.pdf</t>
  </si>
  <si>
    <t>Melting_Curves/meltCurve_Q86TH1_ADAMTSL2.pdf</t>
  </si>
  <si>
    <t>Melting_Curves/meltCurve_Q86UD1_OAF.pdf</t>
  </si>
  <si>
    <t>Melting_Curves/meltCurve_Q86UN2_RTN4RL1.pdf</t>
  </si>
  <si>
    <t>Melting_Curves/meltCurve_Q86UP2_2_KTN1.pdf</t>
  </si>
  <si>
    <t>Melting_Curves/meltCurve_Q86V85_GPR180.pdf</t>
  </si>
  <si>
    <t>Melting_Curves/meltCurve_Q86VR7_VSIG10L.pdf</t>
  </si>
  <si>
    <t>Melting_Curves/meltCurve_Q86VY4_TSPYL5.pdf</t>
  </si>
  <si>
    <t>Melting_Curves/meltCurve_Q86VZ4_LRP11.pdf</t>
  </si>
  <si>
    <t>Melting_Curves/meltCurve_Q86X29_6_LSR.pdf</t>
  </si>
  <si>
    <t>Melting_Curves/meltCurve_Q86XR7_2_TICAM2.pdf</t>
  </si>
  <si>
    <t>Melting_Curves/meltCurve_Q86Y38_XYLT1.pdf</t>
  </si>
  <si>
    <t>Melting_Curves/meltCurve_Q86Y82_STX12.pdf</t>
  </si>
  <si>
    <t>Melting_Curves/meltCurve_Q8IV08_PLD3.pdf</t>
  </si>
  <si>
    <t>Melting_Curves/meltCurve_Q8IVN8_SBSPON.pdf</t>
  </si>
  <si>
    <t>Melting_Curves/meltCurve_Q8IW75_SERPINA12.pdf</t>
  </si>
  <si>
    <t>Melting_Curves/meltCurve_Q8IYB5_3_SMAP1.pdf</t>
  </si>
  <si>
    <t>Melting_Curves/meltCurve_Q8IYJ3_SYTL1.pdf</t>
  </si>
  <si>
    <t>Melting_Curves/meltCurve_Q8IZA0_2_KIAA0319L.pdf</t>
  </si>
  <si>
    <t>Melting_Curves/meltCurve_Q8IZJ3_2_CPAMD8.pdf</t>
  </si>
  <si>
    <t>Melting_Curves/meltCurve_Q8IZP9_10_ADGRG2.pdf</t>
  </si>
  <si>
    <t>Melting_Curves/meltCurve_Q8N0X7_SPG20.pdf</t>
  </si>
  <si>
    <t>Melting_Curves/meltCurve_Q8N114_2_SHISA5.pdf</t>
  </si>
  <si>
    <t>Melting_Curves/meltCurve_Q8N264_5_ARHGAP24.pdf</t>
  </si>
  <si>
    <t>Melting_Curves/meltCurve_Q8N2S1_2_LTBP4.pdf</t>
  </si>
  <si>
    <t>Melting_Curves/meltCurve_Q8N335_GPD1L.pdf</t>
  </si>
  <si>
    <t>Melting_Curves/meltCurve_Q8N3T6_TMEM132C.pdf</t>
  </si>
  <si>
    <t>Melting_Curves/meltCurve_Q8N474_SFRP1.pdf</t>
  </si>
  <si>
    <t>Melting_Curves/meltCurve_Q8N4F0_BPIFB2.pdf</t>
  </si>
  <si>
    <t>Melting_Curves/meltCurve_Q8N4V2_SVOP.pdf</t>
  </si>
  <si>
    <t>Melting_Curves/meltCurve_Q8N4X5_2_AFAP1L2.pdf</t>
  </si>
  <si>
    <t>Melting_Curves/meltCurve_Q8N6G6_ADAMTSL1.pdf</t>
  </si>
  <si>
    <t>Melting_Curves/meltCurve_Q8N6Q3_CD177.pdf</t>
  </si>
  <si>
    <t>Melting_Curves/meltCurve_Q8NBJ4_2_GOLM1.pdf</t>
  </si>
  <si>
    <t>Melting_Curves/meltCurve_Q8NBL1_POGLUT1.pdf</t>
  </si>
  <si>
    <t>Melting_Curves/meltCurve_Q8NBS9_2_TXNDC5.pdf</t>
  </si>
  <si>
    <t>Melting_Curves/meltCurve_Q8NCC3_PLA2G15.pdf</t>
  </si>
  <si>
    <t>Melting_Curves/meltCurve_Q8NCH0_CHST14.pdf</t>
  </si>
  <si>
    <t>Melting_Curves/meltCurve_Q8NCL4_GALNT6.pdf</t>
  </si>
  <si>
    <t>Melting_Curves/meltCurve_Q8NFT8_DNER.pdf</t>
  </si>
  <si>
    <t>Melting_Curves/meltCurve_Q8NFZ8_CADM4.pdf</t>
  </si>
  <si>
    <t>Melting_Curves/meltCurve_Q8NHP8_2_PLBD2.pdf</t>
  </si>
  <si>
    <t>Melting_Curves/meltCurve_Q8QPI8_NS.pdf</t>
  </si>
  <si>
    <t>Melting_Curves/meltCurve_Q8TB96_ITFG1.pdf</t>
  </si>
  <si>
    <t>Melting_Curves/meltCurve_Q8TBX8_2_PIP4K2C.pdf</t>
  </si>
  <si>
    <t>Melting_Curves/meltCurve_Q8TD19_NEK9.pdf</t>
  </si>
  <si>
    <t>Melting_Curves/meltCurve_Q8TE56_ADAMTS17.pdf</t>
  </si>
  <si>
    <t>Melting_Curves/meltCurve_Q8TE68_4_EPS8L1.pdf</t>
  </si>
  <si>
    <t>Melting_Curves/meltCurve_Q8TE73_DNAH5.pdf</t>
  </si>
  <si>
    <t>Melting_Curves/meltCurve_Q8TE96_2_DQX1.pdf</t>
  </si>
  <si>
    <t>Melting_Curves/meltCurve_Q8TEA8_DTD1.pdf</t>
  </si>
  <si>
    <t>Melting_Curves/meltCurve_Q8TED9_4_AFAP1L1.pdf</t>
  </si>
  <si>
    <t>Melting_Curves/meltCurve_Q8TER0_5_SNED1.pdf</t>
  </si>
  <si>
    <t>Melting_Curves/meltCurve_Q8TF72_SHROOM3.pdf</t>
  </si>
  <si>
    <t>Melting_Curves/meltCurve_Q8TF74_WIPF2.pdf</t>
  </si>
  <si>
    <t>Melting_Curves/meltCurve_Q8WUD1_2_RAB2B.pdf</t>
  </si>
  <si>
    <t>Melting_Curves/meltCurve_Q8WUM4_PDCD6IP.pdf</t>
  </si>
  <si>
    <t>Melting_Curves/meltCurve_Q8WUW1_BRK1.pdf</t>
  </si>
  <si>
    <t>Melting_Curves/meltCurve_Q8WVQ1_3_CANT1.pdf</t>
  </si>
  <si>
    <t>Melting_Curves/meltCurve_Q8WWX9_SELENOM.pdf</t>
  </si>
  <si>
    <t>Melting_Curves/meltCurve_Q8WWY7_WFDC12.pdf</t>
  </si>
  <si>
    <t>Melting_Curves/meltCurve_Q8WX77_IGFBPL1.pdf</t>
  </si>
  <si>
    <t>Melting_Curves/meltCurve_Q8WXA2_PATE1.pdf</t>
  </si>
  <si>
    <t>Melting_Curves/meltCurve_Q8WXH0_7_SYNE2.pdf</t>
  </si>
  <si>
    <t>Melting_Curves/meltCurve_Q8WZ42_6_TTN.pdf</t>
  </si>
  <si>
    <t>Melting_Curves/meltCurve_Q8WZA0_LZIC.pdf</t>
  </si>
  <si>
    <t>Melting_Curves/meltCurve_Q8WZA9_IRGQ.pdf</t>
  </si>
  <si>
    <t>Melting_Curves/meltCurve_Q92484_2_SMPDL3A.pdf</t>
  </si>
  <si>
    <t>Melting_Curves/meltCurve_Q92485_2_SMPDL3B.pdf</t>
  </si>
  <si>
    <t>Melting_Curves/meltCurve_Q92520_FAM3C.pdf</t>
  </si>
  <si>
    <t>Melting_Curves/meltCurve_Q92542_2_NCSTN.pdf</t>
  </si>
  <si>
    <t>Melting_Curves/meltCurve_Q92552_MRPS27.pdf</t>
  </si>
  <si>
    <t>Melting_Curves/meltCurve_Q92597_3_NDRG1.pdf</t>
  </si>
  <si>
    <t>Melting_Curves/meltCurve_Q92598_2_HSPH1.pdf</t>
  </si>
  <si>
    <t>Melting_Curves/meltCurve_Q92626_2_PXDN.pdf</t>
  </si>
  <si>
    <t>Melting_Curves/meltCurve_Q92673_SORL1.pdf</t>
  </si>
  <si>
    <t>Melting_Curves/meltCurve_Q92692_2_NECTIN2.pdf</t>
  </si>
  <si>
    <t>Melting_Curves/meltCurve_Q92729_3_PTPRU.pdf</t>
  </si>
  <si>
    <t>Melting_Curves/meltCurve_Q92743_HTRA1.pdf</t>
  </si>
  <si>
    <t>Melting_Curves/meltCurve_Q92793_2_CREBBP.pdf</t>
  </si>
  <si>
    <t>Melting_Curves/meltCurve_Q92823_3_NRCAM.pdf</t>
  </si>
  <si>
    <t>Melting_Curves/meltCurve_Q92832_2_NELL1.pdf</t>
  </si>
  <si>
    <t>Melting_Curves/meltCurve_Q92838_9_EDA.pdf</t>
  </si>
  <si>
    <t>Melting_Curves/meltCurve_Q92859_3_NEO1.pdf</t>
  </si>
  <si>
    <t>Melting_Curves/meltCurve_Q92896_GLG1.pdf</t>
  </si>
  <si>
    <t>Melting_Curves/meltCurve_Q92956_TNFRSF14.pdf</t>
  </si>
  <si>
    <t>Melting_Curves/meltCurve_Q92995_2_USP13.pdf</t>
  </si>
  <si>
    <t>Melting_Curves/meltCurve_Q93052_LPP.pdf</t>
  </si>
  <si>
    <t>Melting_Curves/meltCurve_Q93099_HGD.pdf</t>
  </si>
  <si>
    <t>Melting_Curves/meltCurve_Q969H8_MYDGF.pdf</t>
  </si>
  <si>
    <t>Melting_Curves/meltCurve_Q96AE7_2_TTC17.pdf</t>
  </si>
  <si>
    <t>Melting_Curves/meltCurve_Q96AQ6_2_PBXIP1.pdf</t>
  </si>
  <si>
    <t>Melting_Curves/meltCurve_Q96AT9_4_RPE.pdf</t>
  </si>
  <si>
    <t>Melting_Curves/meltCurve_Q96BA8_2_CREB3L1.pdf</t>
  </si>
  <si>
    <t>Melting_Curves/meltCurve_Q96BQ1_FAM3D.pdf</t>
  </si>
  <si>
    <t>Melting_Curves/meltCurve_Q96C19_EFHD2.pdf</t>
  </si>
  <si>
    <t>Melting_Curves/meltCurve_Q96CN7_ISOC1.pdf</t>
  </si>
  <si>
    <t>Melting_Curves/meltCurve_Q96CT7_CCDC124.pdf</t>
  </si>
  <si>
    <t>Melting_Curves/meltCurve_Q96DA0_ZG16B.pdf</t>
  </si>
  <si>
    <t>Melting_Curves/meltCurve_Q96DD7_SHISA4.pdf</t>
  </si>
  <si>
    <t>Melting_Curves/meltCurve_Q96DR5_BPIFA2.pdf</t>
  </si>
  <si>
    <t>Melting_Curves/meltCurve_Q96DR8_MUCL1.pdf</t>
  </si>
  <si>
    <t>Melting_Curves/meltCurve_Q96DZ1_2_ERLEC1.pdf</t>
  </si>
  <si>
    <t>Melting_Curves/meltCurve_Q96EK6_GNPNAT1.pdf</t>
  </si>
  <si>
    <t>Melting_Curves/meltCurve_Q96EU7_C1GALT1C1.pdf</t>
  </si>
  <si>
    <t>Melting_Curves/meltCurve_Q96FE7_4_PIK3IP1.pdf</t>
  </si>
  <si>
    <t>Melting_Curves/meltCurve_Q96GW7_2_BCAN.pdf</t>
  </si>
  <si>
    <t>Melting_Curves/meltCurve_Q96HC4_PDLIM5.pdf</t>
  </si>
  <si>
    <t>Melting_Curves/meltCurve_Q96HD1_CRELD1.pdf</t>
  </si>
  <si>
    <t>Melting_Curves/meltCurve_Q96JA1_2_LRIG1.pdf</t>
  </si>
  <si>
    <t>Melting_Curves/meltCurve_Q96JB6_LOXL4.pdf</t>
  </si>
  <si>
    <t>Melting_Curves/meltCurve_Q96K76_4_USP47.pdf</t>
  </si>
  <si>
    <t>Melting_Curves/meltCurve_Q96KG7_2_MEGF10.pdf</t>
  </si>
  <si>
    <t>Melting_Curves/meltCurve_Q96KP4_CNDP2.pdf</t>
  </si>
  <si>
    <t>Melting_Curves/meltCurve_Q96KR4_2_LMLN.pdf</t>
  </si>
  <si>
    <t>Melting_Curves/meltCurve_Q96M27_4_PRRC1.pdf</t>
  </si>
  <si>
    <t>Melting_Curves/meltCurve_Q96N03_VSTM2L.pdf</t>
  </si>
  <si>
    <t>Melting_Curves/meltCurve_Q96NY8_NECTIN4.pdf</t>
  </si>
  <si>
    <t>Melting_Curves/meltCurve_Q96PD2_DCBLD2.pdf</t>
  </si>
  <si>
    <t>Melting_Curves/meltCurve_Q96S96_PEBP4.pdf</t>
  </si>
  <si>
    <t>Melting_Curves/meltCurve_Q96TA1_2_FAM129B.pdf</t>
  </si>
  <si>
    <t>Melting_Curves/meltCurve_Q99460_2_PSMD1.pdf</t>
  </si>
  <si>
    <t>Melting_Curves/meltCurve_Q99497_PARK7.pdf</t>
  </si>
  <si>
    <t>Melting_Curves/meltCurve_Q99519_NEU1.pdf</t>
  </si>
  <si>
    <t>Melting_Curves/meltCurve_Q99523_SORT1.pdf</t>
  </si>
  <si>
    <t>Melting_Curves/meltCurve_Q99536_VAT1.pdf</t>
  </si>
  <si>
    <t>Melting_Curves/meltCurve_Q99538_LGMN.pdf</t>
  </si>
  <si>
    <t>Melting_Curves/meltCurve_Q99574_SERPINI1.pdf</t>
  </si>
  <si>
    <t>Melting_Curves/meltCurve_Q99613_2_EIF3C.pdf</t>
  </si>
  <si>
    <t>Melting_Curves/meltCurve_Q99674_CGREF1.pdf</t>
  </si>
  <si>
    <t>Melting_Curves/meltCurve_Q99715_4_COL12A1.pdf</t>
  </si>
  <si>
    <t>Melting_Curves/meltCurve_Q99727_TIMP4.pdf</t>
  </si>
  <si>
    <t>Melting_Curves/meltCurve_Q99733_NAP1L4.pdf</t>
  </si>
  <si>
    <t>Melting_Curves/meltCurve_Q99784_5_OLFM1.pdf</t>
  </si>
  <si>
    <t>Melting_Curves/meltCurve_Q99832_3_CCT7.pdf</t>
  </si>
  <si>
    <t>Melting_Curves/meltCurve_Q99880_HIST1H2BL.pdf</t>
  </si>
  <si>
    <t>Melting_Curves/meltCurve_Q99961_3_SH3GL1.pdf</t>
  </si>
  <si>
    <t>Melting_Curves/meltCurve_Q99969_RARRES2.pdf</t>
  </si>
  <si>
    <t>Melting_Curves/meltCurve_Q99985_SEMA3C.pdf</t>
  </si>
  <si>
    <t>Melting_Curves/meltCurve_Q99988_GDF15.pdf</t>
  </si>
  <si>
    <t>Melting_Curves/meltCurve_Q9BPX5_ARPC5L.pdf</t>
  </si>
  <si>
    <t>Melting_Curves/meltCurve_Q9BQ16_7_SPOCK3.pdf</t>
  </si>
  <si>
    <t>Melting_Curves/meltCurve_Q9BQ16_8_SPOCK3.pdf</t>
  </si>
  <si>
    <t>Melting_Curves/meltCurve_Q9BQI0_3_AIF1L.pdf</t>
  </si>
  <si>
    <t>Melting_Curves/meltCurve_Q9BQR3_PRSS27.pdf</t>
  </si>
  <si>
    <t>Melting_Curves/meltCurve_Q9BQT9_CLSTN3.pdf</t>
  </si>
  <si>
    <t>Melting_Curves/meltCurve_Q9BR76_CORO1B.pdf</t>
  </si>
  <si>
    <t>Melting_Curves/meltCurve_Q9BRA2_TXNDC17.pdf</t>
  </si>
  <si>
    <t>Melting_Curves/meltCurve_Q9BRH9_ZNF251.pdf</t>
  </si>
  <si>
    <t>Melting_Curves/meltCurve_Q9BRK5_6_SDF4.pdf</t>
  </si>
  <si>
    <t>Melting_Curves/meltCurve_Q9BRP8_2_PYM1.pdf</t>
  </si>
  <si>
    <t>Melting_Curves/meltCurve_Q9BRR6_5_ADPGK.pdf</t>
  </si>
  <si>
    <t>Melting_Curves/meltCurve_Q9BRV8_SIKE1.pdf</t>
  </si>
  <si>
    <t>Melting_Curves/meltCurve_Q9BS26_ERP44.pdf</t>
  </si>
  <si>
    <t>Melting_Curves/meltCurve_Q9BS40_LXN.pdf</t>
  </si>
  <si>
    <t>Melting_Curves/meltCurve_Q9BSG0_PRADC1.pdf</t>
  </si>
  <si>
    <t>Melting_Curves/meltCurve_Q9BSK1_2_ZNF577.pdf</t>
  </si>
  <si>
    <t>Melting_Curves/meltCurve_Q9BTY2_2_FUCA2.pdf</t>
  </si>
  <si>
    <t>Melting_Curves/meltCurve_Q9BUD6_SPON2.pdf</t>
  </si>
  <si>
    <t>Melting_Curves/meltCurve_Q9BUP0_EFHD1.pdf</t>
  </si>
  <si>
    <t>Melting_Curves/meltCurve_Q9BUQ8_DDX23.pdf</t>
  </si>
  <si>
    <t>Melting_Curves/meltCurve_Q9BUT1_3_BDH2.pdf</t>
  </si>
  <si>
    <t>Melting_Curves/meltCurve_Q9BV57_ADI1.pdf</t>
  </si>
  <si>
    <t>Melting_Curves/meltCurve_Q9BVG4_PBDC1.pdf</t>
  </si>
  <si>
    <t>Melting_Curves/meltCurve_Q9BW04_SARG.pdf</t>
  </si>
  <si>
    <t>Melting_Curves/meltCurve_Q9BW91_2_NUDT9.pdf</t>
  </si>
  <si>
    <t>Melting_Curves/meltCurve_Q9BWD1_ACAT2.pdf</t>
  </si>
  <si>
    <t>Melting_Curves/meltCurve_Q9BWS9_3_CHID1.pdf</t>
  </si>
  <si>
    <t>Melting_Curves/meltCurve_Q9BXV9_GON7.pdf</t>
  </si>
  <si>
    <t>Melting_Curves/meltCurve_Q9BY43_CHMP4A.pdf</t>
  </si>
  <si>
    <t>Melting_Curves/meltCurve_Q9BY67_2_CADM1.pdf</t>
  </si>
  <si>
    <t>Melting_Curves/meltCurve_Q9BYZ8_REG4.pdf</t>
  </si>
  <si>
    <t>Melting_Curves/meltCurve_Q9BZR6_RTN4R.pdf</t>
  </si>
  <si>
    <t>Melting_Curves/meltCurve_Q9C005_DPY30.pdf</t>
  </si>
  <si>
    <t>Melting_Curves/meltCurve_Q9C0C2_TNKS1BP1.pdf</t>
  </si>
  <si>
    <t>Melting_Curves/meltCurve_Q9GZM7_3_TINAGL1.pdf</t>
  </si>
  <si>
    <t>Melting_Curves/meltCurve_Q9GZN4_PRSS22.pdf</t>
  </si>
  <si>
    <t>Melting_Curves/meltCurve_Q9GZP0_2_PDGFD.pdf</t>
  </si>
  <si>
    <t>Melting_Curves/meltCurve_Q9GZX9_TWSG1.pdf</t>
  </si>
  <si>
    <t>Melting_Curves/meltCurve_Q9GZZ8_LACRT.pdf</t>
  </si>
  <si>
    <t>Melting_Curves/meltCurve_Q9H008_LHPP.pdf</t>
  </si>
  <si>
    <t>Melting_Curves/meltCurve_Q9H074_3_PAIP1.pdf</t>
  </si>
  <si>
    <t>Melting_Curves/meltCurve_Q9H098_FAM107B.pdf</t>
  </si>
  <si>
    <t>Melting_Curves/meltCurve_Q9H0B8_CRISPLD2.pdf</t>
  </si>
  <si>
    <t>Melting_Curves/meltCurve_Q9H0E2_TOLLIP.pdf</t>
  </si>
  <si>
    <t>Melting_Curves/meltCurve_Q9H0W9_3_C11orf54.pdf</t>
  </si>
  <si>
    <t>Melting_Curves/meltCurve_Q9H173_SIL1.pdf</t>
  </si>
  <si>
    <t>Melting_Curves/meltCurve_Q9H1B5_2_XYLT2.pdf</t>
  </si>
  <si>
    <t>Melting_Curves/meltCurve_Q9H1E1_RNASE7.pdf</t>
  </si>
  <si>
    <t>Melting_Curves/meltCurve_Q9H1I8_3_ASCC2.pdf</t>
  </si>
  <si>
    <t>Melting_Curves/meltCurve_Q9H1U4_MEGF9.pdf</t>
  </si>
  <si>
    <t>Melting_Curves/meltCurve_Q9H299_SH3BGRL3.pdf</t>
  </si>
  <si>
    <t>Melting_Curves/meltCurve_Q9H336_CRISPLD1.pdf</t>
  </si>
  <si>
    <t>Melting_Curves/meltCurve_Q9H3S1_SEMA4A.pdf</t>
  </si>
  <si>
    <t>Melting_Curves/meltCurve_Q9H444_CHMP4B.pdf</t>
  </si>
  <si>
    <t>Melting_Curves/meltCurve_Q9H461_FZD8.pdf</t>
  </si>
  <si>
    <t>Melting_Curves/meltCurve_Q9H4A4_RNPEP.pdf</t>
  </si>
  <si>
    <t>Melting_Curves/meltCurve_Q9H4D0_CLSTN2.pdf</t>
  </si>
  <si>
    <t>Melting_Curves/meltCurve_Q9H5N1_2_RABEP2.pdf</t>
  </si>
  <si>
    <t>Melting_Curves/meltCurve_Q9H5V8_3_CDCP1.pdf</t>
  </si>
  <si>
    <t>Melting_Curves/meltCurve_Q9H6B4_CLMP.pdf</t>
  </si>
  <si>
    <t>Melting_Curves/meltCurve_Q9H741_C12orf49.pdf</t>
  </si>
  <si>
    <t>Melting_Curves/meltCurve_Q9H8J5_MANSC1.pdf</t>
  </si>
  <si>
    <t>Melting_Curves/meltCurve_Q9H8M7_2_MINDY3.pdf</t>
  </si>
  <si>
    <t>Melting_Curves/meltCurve_Q9H910_JPT2.pdf</t>
  </si>
  <si>
    <t>Melting_Curves/meltCurve_Q9HAT2_2_SIAE.pdf</t>
  </si>
  <si>
    <t>Melting_Curves/meltCurve_Q9HB40_SCPEP1.pdf</t>
  </si>
  <si>
    <t>Melting_Curves/meltCurve_Q9HB63_3_NTN4.pdf</t>
  </si>
  <si>
    <t>Melting_Curves/meltCurve_Q9HB71_3_CACYBP.pdf</t>
  </si>
  <si>
    <t>Melting_Curves/meltCurve_Q9HBR0_SLC38A10.pdf</t>
  </si>
  <si>
    <t>Melting_Curves/meltCurve_Q9HC38_2_GLOD4.pdf</t>
  </si>
  <si>
    <t>Melting_Curves/meltCurve_Q9HC84_MUC5B.pdf</t>
  </si>
  <si>
    <t>Melting_Curves/meltCurve_Q9HCE0_2_EPG5.pdf</t>
  </si>
  <si>
    <t>Melting_Curves/meltCurve_Q9HCU4_CELSR2.pdf</t>
  </si>
  <si>
    <t>Melting_Curves/meltCurve_Q9HD89_RETN.pdf</t>
  </si>
  <si>
    <t>Melting_Curves/meltCurve_Q9HDB5_3_NRXN3.pdf</t>
  </si>
  <si>
    <t>Melting_Curves/meltCurve_Q9NP61_2_ARFGAP3.pdf</t>
  </si>
  <si>
    <t>Melting_Curves/meltCurve_Q9NP79_2_VTA1.pdf</t>
  </si>
  <si>
    <t>Melting_Curves/meltCurve_Q9NP97_DYNLRB1.pdf</t>
  </si>
  <si>
    <t>Melting_Curves/meltCurve_Q9NPC4_A4GALT.pdf</t>
  </si>
  <si>
    <t>Melting_Curves/meltCurve_Q9NPF0_2_CD320.pdf</t>
  </si>
  <si>
    <t>Melting_Curves/meltCurve_Q9NPF2_2_CHST11.pdf</t>
  </si>
  <si>
    <t>Melting_Curves/meltCurve_Q9NPH0_ACP6.pdf</t>
  </si>
  <si>
    <t>Melting_Curves/meltCurve_Q9NPH3_3_IL1RAP.pdf</t>
  </si>
  <si>
    <t>Melting_Curves/meltCurve_Q9NPR2_2_SEMA4B.pdf</t>
  </si>
  <si>
    <t>Melting_Curves/meltCurve_Q9NQ36_3_SCUBE2.pdf</t>
  </si>
  <si>
    <t>Melting_Curves/meltCurve_Q9NQ38_2_SPINK5.pdf</t>
  </si>
  <si>
    <t>Melting_Curves/meltCurve_Q9NQ79_2_CRTAC1.pdf</t>
  </si>
  <si>
    <t>Melting_Curves/meltCurve_Q9NQP4_PFDN4.pdf</t>
  </si>
  <si>
    <t>Melting_Curves/meltCurve_Q9NQR4_NIT2.pdf</t>
  </si>
  <si>
    <t>Melting_Curves/meltCurve_Q9NQT8_2_KIF13B.pdf</t>
  </si>
  <si>
    <t>Melting_Curves/meltCurve_Q9NQW7_2_XPNPEP1.pdf</t>
  </si>
  <si>
    <t>Melting_Curves/meltCurve_Q9NQX3_GPHN.pdf</t>
  </si>
  <si>
    <t>Melting_Curves/meltCurve_Q9NQX5_NPDC1.pdf</t>
  </si>
  <si>
    <t>Melting_Curves/meltCurve_Q9NR34_MAN1C1.pdf</t>
  </si>
  <si>
    <t>Melting_Curves/meltCurve_Q9NR45_NANS.pdf</t>
  </si>
  <si>
    <t>Melting_Curves/meltCurve_Q9NR99_MXRA5.pdf</t>
  </si>
  <si>
    <t>Melting_Curves/meltCurve_Q9NRA1_4_PDGFC.pdf</t>
  </si>
  <si>
    <t>Melting_Curves/meltCurve_Q9NRV9_HEBP1.pdf</t>
  </si>
  <si>
    <t>Melting_Curves/meltCurve_Q9NRY4_ARHGAP35.pdf</t>
  </si>
  <si>
    <t>Melting_Curves/meltCurve_Q9NS15_LTBP3.pdf</t>
  </si>
  <si>
    <t>Melting_Curves/meltCurve_Q9NS68_2_TNFRSF19.pdf</t>
  </si>
  <si>
    <t>Melting_Curves/meltCurve_Q9NTI5_2_PDS5B.pdf</t>
  </si>
  <si>
    <t>Melting_Curves/meltCurve_Q9NU53_GINM1.pdf</t>
  </si>
  <si>
    <t>Melting_Curves/meltCurve_Q9NY33_DPP3.pdf</t>
  </si>
  <si>
    <t>Melting_Curves/meltCurve_Q9NYL9_TMOD3.pdf</t>
  </si>
  <si>
    <t>Melting_Curves/meltCurve_Q9NYT6_ZNF226.pdf</t>
  </si>
  <si>
    <t>Melting_Curves/meltCurve_Q9NZ08_ERAP1.pdf</t>
  </si>
  <si>
    <t>Melting_Curves/meltCurve_Q9NZ20_PLA2G3.pdf</t>
  </si>
  <si>
    <t>Melting_Curves/meltCurve_Q9NZ53_PODXL2.pdf</t>
  </si>
  <si>
    <t>Melting_Curves/meltCurve_Q9NZJ5_EIF2AK3.pdf</t>
  </si>
  <si>
    <t>Melting_Curves/meltCurve_Q9NZM1_4_MYOF.pdf</t>
  </si>
  <si>
    <t>Melting_Curves/meltCurve_Q9NZM3_4_ITSN2.pdf</t>
  </si>
  <si>
    <t>Melting_Curves/meltCurve_Q9NZP8_C1RL.pdf</t>
  </si>
  <si>
    <t>Melting_Curves/meltCurve_Q9NZV1_CRIM1.pdf</t>
  </si>
  <si>
    <t>Melting_Curves/meltCurve_Q9NZZ3_CHMP5.pdf</t>
  </si>
  <si>
    <t>Melting_Curves/meltCurve_Q9P0K7_RAI14.pdf</t>
  </si>
  <si>
    <t>Melting_Curves/meltCurve_Q9P0L0_VAPA.pdf</t>
  </si>
  <si>
    <t>Melting_Curves/meltCurve_Q9P0S2_COX16.pdf</t>
  </si>
  <si>
    <t>Melting_Curves/meltCurve_Q9P232_CNTN3.pdf</t>
  </si>
  <si>
    <t>Melting_Curves/meltCurve_Q9P265_DIP2B.pdf</t>
  </si>
  <si>
    <t>Melting_Curves/meltCurve_Q9P2E9_2_RRBP1.pdf</t>
  </si>
  <si>
    <t>Melting_Curves/meltCurve_Q9P2T1_3_GMPR2.pdf</t>
  </si>
  <si>
    <t>Melting_Curves/meltCurve_Q9UBC9_SPRR3.pdf</t>
  </si>
  <si>
    <t>Melting_Curves/meltCurve_Q9UBP4_DKK3.pdf</t>
  </si>
  <si>
    <t>Melting_Curves/meltCurve_Q9UBR2_CTSZ.pdf</t>
  </si>
  <si>
    <t>Melting_Curves/meltCurve_Q9UBS3_DNAJB9.pdf</t>
  </si>
  <si>
    <t>Melting_Curves/meltCurve_Q9UBV8_PEF1.pdf</t>
  </si>
  <si>
    <t>Melting_Curves/meltCurve_Q9UBW8_COPS7A.pdf</t>
  </si>
  <si>
    <t>Melting_Curves/meltCurve_Q9UBX1_CTSF.pdf</t>
  </si>
  <si>
    <t>Melting_Curves/meltCurve_Q9UBX5_FBLN5.pdf</t>
  </si>
  <si>
    <t>Melting_Curves/meltCurve_Q9UBX7_1_KLK11.pdf</t>
  </si>
  <si>
    <t>Melting_Curves/meltCurve_Q9UD71_PPP1R1B.pdf</t>
  </si>
  <si>
    <t>Melting_Curves/meltCurve_Q9UDY2_6_TJP2.pdf</t>
  </si>
  <si>
    <t>Melting_Curves/meltCurve_Q9UFH2_4_DNAH17.pdf</t>
  </si>
  <si>
    <t>Melting_Curves/meltCurve_Q9UGM3_9_DMBT1.pdf</t>
  </si>
  <si>
    <t>Melting_Curves/meltCurve_Q9UGM5_2_FETUB.pdf</t>
  </si>
  <si>
    <t>Melting_Curves/meltCurve_Q9UGV2_3_NDRG3.pdf</t>
  </si>
  <si>
    <t>Melting_Curves/meltCurve_Q9UHC6_CNTNAP2.pdf</t>
  </si>
  <si>
    <t>Melting_Curves/meltCurve_Q9UHG2_PCSK1N.pdf</t>
  </si>
  <si>
    <t>Melting_Curves/meltCurve_Q9UHI8_ADAMTS1.pdf</t>
  </si>
  <si>
    <t>Melting_Curves/meltCurve_Q9UHL4_DPP7.pdf</t>
  </si>
  <si>
    <t>Melting_Curves/meltCurve_Q9UHQ7_TCEAL9.pdf</t>
  </si>
  <si>
    <t>Melting_Curves/meltCurve_Q9UHV9_PFDN2.pdf</t>
  </si>
  <si>
    <t>Melting_Curves/meltCurve_Q9UHY7_ENOPH1.pdf</t>
  </si>
  <si>
    <t>Melting_Curves/meltCurve_Q9UI12_2_ATP6V1H.pdf</t>
  </si>
  <si>
    <t>Melting_Curves/meltCurve_Q9UJC5_SH3BGRL2.pdf</t>
  </si>
  <si>
    <t>Melting_Curves/meltCurve_Q9UJH8_METRN.pdf</t>
  </si>
  <si>
    <t>Melting_Curves/meltCurve_Q9UJJ9_GNPTG.pdf</t>
  </si>
  <si>
    <t>Melting_Curves/meltCurve_Q9UKK9_NUDT5.pdf</t>
  </si>
  <si>
    <t>Melting_Curves/meltCurve_Q9UL25_RAB21.pdf</t>
  </si>
  <si>
    <t>Melting_Curves/meltCurve_Q9UL46_PSME2.pdf</t>
  </si>
  <si>
    <t>Melting_Curves/meltCurve_Q9ULE4_FAM184B.pdf</t>
  </si>
  <si>
    <t>Melting_Curves/meltCurve_Q9ULH7_4_MKL2.pdf</t>
  </si>
  <si>
    <t>Melting_Curves/meltCurve_Q9ULL4_PLXNB3.pdf</t>
  </si>
  <si>
    <t>Melting_Curves/meltCurve_Q9UM22_2_EPDR1.pdf</t>
  </si>
  <si>
    <t>Melting_Curves/meltCurve_Q9UM54_5_MYO6.pdf</t>
  </si>
  <si>
    <t>Melting_Curves/meltCurve_Q9UMX0_3_UBQLN1.pdf</t>
  </si>
  <si>
    <t>Melting_Curves/meltCurve_Q9UMX5_NENF.pdf</t>
  </si>
  <si>
    <t>Melting_Curves/meltCurve_Q9UN36_2_NDRG2.pdf</t>
  </si>
  <si>
    <t>Melting_Curves/meltCurve_Q9UN86_2_G3BP2.pdf</t>
  </si>
  <si>
    <t>Melting_Curves/meltCurve_Q9UNW1_MINPP1.pdf</t>
  </si>
  <si>
    <t>Melting_Curves/meltCurve_Q9UNX3_RPL26L1.pdf</t>
  </si>
  <si>
    <t>Melting_Curves/meltCurve_Q9UNZ2_NSFL1C.pdf</t>
  </si>
  <si>
    <t>Melting_Curves/meltCurve_Q9UQ13_2_SHOC2.pdf</t>
  </si>
  <si>
    <t>Melting_Curves/meltCurve_Q9UQ80_2_PA2G4.pdf</t>
  </si>
  <si>
    <t>Melting_Curves/meltCurve_Q9UQB8_3_BAIAP2.pdf</t>
  </si>
  <si>
    <t>Melting_Curves/meltCurve_Q9Y265_2_RUVBL1.pdf</t>
  </si>
  <si>
    <t>Melting_Curves/meltCurve_Q9Y266_NUDC.pdf</t>
  </si>
  <si>
    <t>Melting_Curves/meltCurve_Q9Y295_DRG1.pdf</t>
  </si>
  <si>
    <t>Melting_Curves/meltCurve_Q9Y2A9_B3GNT3.pdf</t>
  </si>
  <si>
    <t>Melting_Curves/meltCurve_Q9Y2E5_2_MAN2B2.pdf</t>
  </si>
  <si>
    <t>Melting_Curves/meltCurve_Q9Y2S2_2_CRYL1.pdf</t>
  </si>
  <si>
    <t>Melting_Curves/meltCurve_Q9Y376_CAB39.pdf</t>
  </si>
  <si>
    <t>Melting_Curves/meltCurve_Q9Y3B8_2_REXO2.pdf</t>
  </si>
  <si>
    <t>Melting_Curves/meltCurve_Q9Y490_TLN1.pdf</t>
  </si>
  <si>
    <t>Melting_Curves/meltCurve_Q9Y4L1_HYOU1.pdf</t>
  </si>
  <si>
    <t>Melting_Curves/meltCurve_Q9Y5K6_CD2AP.pdf</t>
  </si>
  <si>
    <t>Melting_Curves/meltCurve_Q9Y5X3_SNX5.pdf</t>
  </si>
  <si>
    <t>Melting_Curves/meltCurve_Q9Y5X9_LIPG.pdf</t>
  </si>
  <si>
    <t>Melting_Curves/meltCurve_Q9Y5Y6_ST14.pdf</t>
  </si>
  <si>
    <t>Melting_Curves/meltCurve_Q9Y5Z4_2_HEBP2.pdf</t>
  </si>
  <si>
    <t>Melting_Curves/meltCurve_Q9Y608_2_LRRFIP2.pdf</t>
  </si>
  <si>
    <t>Melting_Curves/meltCurve_Q9Y624_F11R.pdf</t>
  </si>
  <si>
    <t>Melting_Curves/meltCurve_Q9Y646_CPQ.pdf</t>
  </si>
  <si>
    <t>Melting_Curves/meltCurve_Q9Y653_2_ADGRG1.pdf</t>
  </si>
  <si>
    <t>Melting_Curves/meltCurve_Q9Y696_CLIC4.pdf</t>
  </si>
  <si>
    <t>Melting_Curves/meltCurve_Q9Y6G9_DYNC1LI1.pdf</t>
  </si>
  <si>
    <t>Melting_Curves/meltCurve_Q9Y6I3_3_EPN1.pdf</t>
  </si>
  <si>
    <t>Melting_Curves/meltCurve_Q9Y6K9_3_IKBKG.pdf</t>
  </si>
  <si>
    <t>Melting_Curves/meltCurve_Q9Y6R7_FCGBP.pdf</t>
  </si>
  <si>
    <t>Melting_Curves/meltCurve_Q9Y6U3_3_SCIN.pdf</t>
  </si>
  <si>
    <t>Melting_Curves/meltCurve_Q9Y6W5_WASF2.pdf</t>
  </si>
  <si>
    <t>Melting_Curves/meltCurve_Q9Y6X5_ENPP4.pdf</t>
  </si>
  <si>
    <t>Yes</t>
  </si>
  <si>
    <t>No</t>
  </si>
  <si>
    <t>Immunoglobulin lambda variable 8-61</t>
  </si>
  <si>
    <t>Immunoglobulin lambda variable 7-46</t>
  </si>
  <si>
    <t>Immunoglobulin kappa variable 3D-11</t>
  </si>
  <si>
    <t>Immunoglobulin heavy variable 3-72</t>
  </si>
  <si>
    <t>Immunoglobulin heavy variable 3-66</t>
  </si>
  <si>
    <t>Immunoglobulin kappa variable 3D-7</t>
  </si>
  <si>
    <t>Isoform 8 of Shootin-1</t>
  </si>
  <si>
    <t>Immunoglobulin kappa variable 2-29</t>
  </si>
  <si>
    <t>Putative stereocilin-like protein</t>
  </si>
  <si>
    <t>Beclin-2</t>
  </si>
  <si>
    <t>Isoform 5 of Unconventional myosin-IXa</t>
  </si>
  <si>
    <t>Putative WAS protein family homolog 3</t>
  </si>
  <si>
    <t>Nascent polypeptide-associated complex subunit alpha, muscle-specific form</t>
  </si>
  <si>
    <t>Isoform 2 of Deoxyribonuclease-2-alpha</t>
  </si>
  <si>
    <t>PDZ and LIM domain protein 1</t>
  </si>
  <si>
    <t>Isoform 2 of Unconventional myosin-Ic</t>
  </si>
  <si>
    <t>AH receptor-interacting protein</t>
  </si>
  <si>
    <t>Isoform 2 of AP-3 complex subunit beta-1</t>
  </si>
  <si>
    <t>26S proteasome non-ATPase regulatory subunit 9</t>
  </si>
  <si>
    <t>Membrane-associated progesterone receptor component 1</t>
  </si>
  <si>
    <t>Chloride intracellular channel protein 1</t>
  </si>
  <si>
    <t>Tumor necrosis factor receptor superfamily member 11B</t>
  </si>
  <si>
    <t>Isoform 2 of Matrilin-2</t>
  </si>
  <si>
    <t>Sulfhydryl oxidase 1</t>
  </si>
  <si>
    <t>Isoform 2 of Sulfhydryl oxidase 1</t>
  </si>
  <si>
    <t>Neural Wiskott-Aldrich syndrome protein</t>
  </si>
  <si>
    <t>Echinoderm microtubule-associated protein-like 1</t>
  </si>
  <si>
    <t>GDNF family receptor alpha-2</t>
  </si>
  <si>
    <t>Golgi integral membrane protein 4</t>
  </si>
  <si>
    <t>Beta-mannosidase</t>
  </si>
  <si>
    <t>Isoform 6 of Agrin</t>
  </si>
  <si>
    <t>Procollagen-lysine,2-oxoglutarate 5-dioxygenase 2</t>
  </si>
  <si>
    <t>Neural cell adhesion molecule L1-like protein</t>
  </si>
  <si>
    <t>Ribonuclease T2</t>
  </si>
  <si>
    <t>Isoform 2 of Podocalyxin</t>
  </si>
  <si>
    <t>Protein CYR61</t>
  </si>
  <si>
    <t>Isoform 2 of Lysosomal alpha-mannosidase</t>
  </si>
  <si>
    <t>Ubiquitin domain-containing protein UBFD1</t>
  </si>
  <si>
    <t>Ectonucleotide pyrophosphatase/phosphodiesterase family member 3</t>
  </si>
  <si>
    <t>Disintegrin and metalloproteinase domain-containing protein 10</t>
  </si>
  <si>
    <t>Programmed cell death protein 5</t>
  </si>
  <si>
    <t>Na(+)/H(+) exchange regulatory cofactor NHE-RF1</t>
  </si>
  <si>
    <t>Isoform 3 of Neuropilin-1</t>
  </si>
  <si>
    <t>Proteasome subunit alpha type-7</t>
  </si>
  <si>
    <t>Plexin-B2</t>
  </si>
  <si>
    <t>Isoform 2 of Centrosomal protein of 290 kDa</t>
  </si>
  <si>
    <t>Actin-related protein 2/3 complex subunit 2</t>
  </si>
  <si>
    <t>Isoform 2 of ADAM DEC1</t>
  </si>
  <si>
    <t>Prefoldin subunit 6</t>
  </si>
  <si>
    <t>Laminin subunit alpha-5</t>
  </si>
  <si>
    <t>Isoform 5 of Zinc finger protein 185</t>
  </si>
  <si>
    <t>Isoform 2 of Matrilin-3</t>
  </si>
  <si>
    <t>Chondroadherin</t>
  </si>
  <si>
    <t>Transmembrane protease serine 2</t>
  </si>
  <si>
    <t>Neural cell adhesion molecule 2</t>
  </si>
  <si>
    <t>Isoform 2 of Synaptobrevin homolog YKT6</t>
  </si>
  <si>
    <t>Actin-related protein 2/3 complex subunit 5</t>
  </si>
  <si>
    <t>D-3-phosphoglycerate dehydrogenase</t>
  </si>
  <si>
    <t>Isoform 5 of Rho GTPase-activating protein 6</t>
  </si>
  <si>
    <t>Isoform 2 of Cytoplasmic dynein 1 light intermediate chain 2</t>
  </si>
  <si>
    <t>Kallikrein-10</t>
  </si>
  <si>
    <t>Kunitz-type protease inhibitor 1</t>
  </si>
  <si>
    <t>Kunitz-type protease inhibitor 2</t>
  </si>
  <si>
    <t>Isoform 2 of Tumor protein D54</t>
  </si>
  <si>
    <t>Cochlin</t>
  </si>
  <si>
    <t>Aflatoxin B1 aldehyde reductase member 2</t>
  </si>
  <si>
    <t>Beta-1,4-glucuronyltransferase 1</t>
  </si>
  <si>
    <t>Synaptotagmin-7</t>
  </si>
  <si>
    <t>Density-regulated protein</t>
  </si>
  <si>
    <t>Isoform 2 of 2-deoxynucleoside 5-phosphate N-hydrolase 1</t>
  </si>
  <si>
    <t>Prostate stem cell antigen</t>
  </si>
  <si>
    <t>Peptidase inhibitor 15</t>
  </si>
  <si>
    <t>Alpha-actinin-4</t>
  </si>
  <si>
    <t>Small glutamine-rich tetratricopeptide repeat-containing protein alpha</t>
  </si>
  <si>
    <t>Asparagine--tRNA ligase, cytoplasmic</t>
  </si>
  <si>
    <t>Isoform 2 of Calumenin</t>
  </si>
  <si>
    <t>Isoform 4 of Phosphoribosyl pyrophosphate synthase-associated protein 2</t>
  </si>
  <si>
    <t>Isoform 4 of TBC1 domain family member 4</t>
  </si>
  <si>
    <t>Isoform 2 of Frizzled-6</t>
  </si>
  <si>
    <t>Isoform 5 of Heterogeneous nuclear ribonucleoprotein Q</t>
  </si>
  <si>
    <t>Beta-1,4-galactosyltransferase 4</t>
  </si>
  <si>
    <t>Isoform 2 of Gremlin-1</t>
  </si>
  <si>
    <t>Procollagen-lysine,2-oxoglutarate 5-dioxygenase 3</t>
  </si>
  <si>
    <t>Selenoprotein F</t>
  </si>
  <si>
    <t>Isoform 4 of Perilipin-3</t>
  </si>
  <si>
    <t>Isoform 3 of UDP-glucose 6-dehydrogenase</t>
  </si>
  <si>
    <t>Isoform 3 of Target of Myb protein 1</t>
  </si>
  <si>
    <t>DnaJ homolog subfamily A member 2</t>
  </si>
  <si>
    <t>Isoform C of Protein CutA</t>
  </si>
  <si>
    <t>Prefoldin subunit 1</t>
  </si>
  <si>
    <t>Nucleolar protein 3</t>
  </si>
  <si>
    <t>EF-hand calcium-binding domain-containing protein 14</t>
  </si>
  <si>
    <t>Isoform 2 of WD repeat-containing protein 1</t>
  </si>
  <si>
    <t>Slit homolog 1 protein</t>
  </si>
  <si>
    <t>Multiple epidermal growth factor-like domains protein 6</t>
  </si>
  <si>
    <t>Isoform 3 of ICOS ligand</t>
  </si>
  <si>
    <t>Isoform 3 of Gamma-glutamylcyclotransferase</t>
  </si>
  <si>
    <t>UDP-glucuronosyltransferase 2B11</t>
  </si>
  <si>
    <t>Isoform 2 of Semaphorin-7A</t>
  </si>
  <si>
    <t>Tubulin-specific chaperone A</t>
  </si>
  <si>
    <t>V-type proton ATPase subunit G 1</t>
  </si>
  <si>
    <t>Ectonucleoside triphosphate diphosphohydrolase 5</t>
  </si>
  <si>
    <t>Breast carcinoma-amplified sequence 1</t>
  </si>
  <si>
    <t>SH3 domain-binding glutamic acid-rich-like protein</t>
  </si>
  <si>
    <t>Isoform 7 of Filamin-B</t>
  </si>
  <si>
    <t>Isoform 4 of Tripartite motif-containing protein 3</t>
  </si>
  <si>
    <t>Isoform 2 of Vacuolar protein sorting-associated protein 26A</t>
  </si>
  <si>
    <t>Glypican-4</t>
  </si>
  <si>
    <t>Ceroid-lipofuscinosis neuronal protein 5</t>
  </si>
  <si>
    <t>Peptidoglycan recognition protein 1</t>
  </si>
  <si>
    <t>Protein CREG1</t>
  </si>
  <si>
    <t>Cartilage-associated protein</t>
  </si>
  <si>
    <t>UDP-GalNAc:beta-1,3-N-acetylgalactosaminyltransferase 1</t>
  </si>
  <si>
    <t>Isoform 2 of Renin receptor</t>
  </si>
  <si>
    <t>Eukaryotic translation initiation factor 3 subunit G</t>
  </si>
  <si>
    <t>Isoform 2 of Eukaryotic translation initiation factor 3 subunit J</t>
  </si>
  <si>
    <t>Isocitrate dehydrogenase [NADP] cytoplasmic</t>
  </si>
  <si>
    <t>Isoform 3 of Attractin</t>
  </si>
  <si>
    <t>Carboxypeptidase D</t>
  </si>
  <si>
    <t>WNT1-inducible-signaling pathway protein 2</t>
  </si>
  <si>
    <t>N(G),N(G)-dimethylarginine dimethylaminohydrolase 1</t>
  </si>
  <si>
    <t>Isoform 2 of Galactosylgalactosylxylosylprotein 3-beta-glucuronosyltransferase 3</t>
  </si>
  <si>
    <t>Isoform 3 of Slit homolog 2 protein</t>
  </si>
  <si>
    <t>Isoform 9 of Sorbin and SH3 domain-containing protein 2</t>
  </si>
  <si>
    <t>Pyridoxal phosphate homeostasis protein</t>
  </si>
  <si>
    <t>Isoform 2 of Adhesion G protein-coupled receptor L1</t>
  </si>
  <si>
    <t>Endonuclease domain-containing 1 protein</t>
  </si>
  <si>
    <t>Isoform 5 of Protein transport protein Sec31A</t>
  </si>
  <si>
    <t>Isoform 2 of Calsyntenin-1</t>
  </si>
  <si>
    <t>Semaphorin-3D</t>
  </si>
  <si>
    <t>Ly6/PLAUR domain-containing protein 3</t>
  </si>
  <si>
    <t>6-phosphogluconolactonase</t>
  </si>
  <si>
    <t>Isoform 3 of Transforming acidic coiled-coil-containing protein 2</t>
  </si>
  <si>
    <t>Phosphoacetylglucosamine mutase</t>
  </si>
  <si>
    <t>Isoform 4 of Matrilin-4</t>
  </si>
  <si>
    <t>STAM-binding protein</t>
  </si>
  <si>
    <t>Serine/threonine-protein kinase OSR1</t>
  </si>
  <si>
    <t>Isoform Short of Double-stranded RNA-binding protein Staufen homolog 1</t>
  </si>
  <si>
    <t>BAG family molecular chaperone regulator 2</t>
  </si>
  <si>
    <t>BAG family molecular chaperone regulator 3</t>
  </si>
  <si>
    <t>Echinoderm microtubule-associated protein-like 2</t>
  </si>
  <si>
    <t>Isoform 3 of 3(2),5-bisphosphate nucleotidase 1</t>
  </si>
  <si>
    <t>N(G),N(G)-dimethylarginine dimethylaminohydrolase 2</t>
  </si>
  <si>
    <t>EGF-containing fibulin-like extracellular matrix protein 2</t>
  </si>
  <si>
    <t>Secretoglobin family 1D member 2</t>
  </si>
  <si>
    <t>Reversion-inducing cysteine-rich protein with Kazal motifs</t>
  </si>
  <si>
    <t>Anterior gradient protein 2 homolog</t>
  </si>
  <si>
    <t>Molybdopterin synthase catalytic subunit</t>
  </si>
  <si>
    <t>L-lactate dehydrogenase A chain</t>
  </si>
  <si>
    <t>Retinal dehydrogenase 1</t>
  </si>
  <si>
    <t>Isoform 4 of Glutathione reductase, mitochondrial</t>
  </si>
  <si>
    <t>Superoxide dismutase [Cu-Zn]</t>
  </si>
  <si>
    <t>Ceruloplasmin</t>
  </si>
  <si>
    <t>Purine nucleoside phosphorylase</t>
  </si>
  <si>
    <t>Hypoxanthine-guanine phosphoribosyltransferase</t>
  </si>
  <si>
    <t>Isoform 2 of Epidermal growth factor receptor</t>
  </si>
  <si>
    <t>Phosphoglycerate kinase 1</t>
  </si>
  <si>
    <t>Adenylate kinase isoenzyme 1</t>
  </si>
  <si>
    <t>Alpha-lactalbumin</t>
  </si>
  <si>
    <t>Prothrombin</t>
  </si>
  <si>
    <t>Complement C1r subcomponent</t>
  </si>
  <si>
    <t>Haptoglobin</t>
  </si>
  <si>
    <t>Complement factor D</t>
  </si>
  <si>
    <t>Plasminogen</t>
  </si>
  <si>
    <t>Coagulation factor XII</t>
  </si>
  <si>
    <t>Isoform 3 of Tissue-type plasminogen activator</t>
  </si>
  <si>
    <t>Complement factor B</t>
  </si>
  <si>
    <t>Carbonic anhydrase 2</t>
  </si>
  <si>
    <t>Argininosuccinate synthase</t>
  </si>
  <si>
    <t>Antithrombin-III</t>
  </si>
  <si>
    <t>Alpha-1-antitrypsin</t>
  </si>
  <si>
    <t>Alpha-1-antichymotrypsin</t>
  </si>
  <si>
    <t>Angiotensinogen</t>
  </si>
  <si>
    <t>Complement C3</t>
  </si>
  <si>
    <t>Complement C5</t>
  </si>
  <si>
    <t>Metalloproteinase inhibitor 1</t>
  </si>
  <si>
    <t>Cystatin-C</t>
  </si>
  <si>
    <t>Cystatin-S</t>
  </si>
  <si>
    <t>Cystatin-SN</t>
  </si>
  <si>
    <t>Cystatin-A</t>
  </si>
  <si>
    <t>Isoform LMW of Kininogen-1</t>
  </si>
  <si>
    <t>Isoform 2 of GTPase HRas</t>
  </si>
  <si>
    <t>Isoform 2 of Platelet-derived growth factor subunit B</t>
  </si>
  <si>
    <t>Isoform 3 of Low-density lipoprotein receptor</t>
  </si>
  <si>
    <t>Transforming growth factor beta-1</t>
  </si>
  <si>
    <t>Pro-neuropeptide Y</t>
  </si>
  <si>
    <t>Insulin-like growth factor II</t>
  </si>
  <si>
    <t>Immunoglobulin J chain</t>
  </si>
  <si>
    <t>Immunoglobulin kappa variable 3-20</t>
  </si>
  <si>
    <t>Immunoglobulin lambda variable 1-47</t>
  </si>
  <si>
    <t>Polymeric immunoglobulin receptor</t>
  </si>
  <si>
    <t>Immunoglobulin kappa constant</t>
  </si>
  <si>
    <t>Immunoglobulin heavy constant gamma 2</t>
  </si>
  <si>
    <t>Immunoglobulin heavy constant gamma 3</t>
  </si>
  <si>
    <t>Immunoglobulin heavy constant gamma 4</t>
  </si>
  <si>
    <t>Immunoglobulin heavy constant alpha 1</t>
  </si>
  <si>
    <t>Isoform C of Prelamin-A/C</t>
  </si>
  <si>
    <t>Apolipoprotein A-I</t>
  </si>
  <si>
    <t>Apolipoprotein E</t>
  </si>
  <si>
    <t>Apolipoprotein A-II</t>
  </si>
  <si>
    <t>Isoform 2 of Fibrinogen alpha chain</t>
  </si>
  <si>
    <t>Fibrinogen beta chain</t>
  </si>
  <si>
    <t>Isoform Gamma-A of Fibrinogen gamma chain</t>
  </si>
  <si>
    <t>Complement C1q subcomponent subunit B</t>
  </si>
  <si>
    <t>Complement component C9</t>
  </si>
  <si>
    <t>Beta-2-glycoprotein 1</t>
  </si>
  <si>
    <t>Leucine-rich alpha-2-glycoprotein</t>
  </si>
  <si>
    <t>Fibronectin</t>
  </si>
  <si>
    <t>Retinol-binding protein 4</t>
  </si>
  <si>
    <t>Protein AMBP</t>
  </si>
  <si>
    <t>Alpha-1-acid glycoprotein 1</t>
  </si>
  <si>
    <t>Alpha-2-HS-glycoprotein</t>
  </si>
  <si>
    <t>Transthyretin</t>
  </si>
  <si>
    <t>Vitamin D-binding protein</t>
  </si>
  <si>
    <t>C-X-C motif chemokine 10</t>
  </si>
  <si>
    <t>Serotransferrin</t>
  </si>
  <si>
    <t>Lactotransferrin</t>
  </si>
  <si>
    <t>Hemopexin</t>
  </si>
  <si>
    <t>Submaxillary gland androgen-regulated protein 3B</t>
  </si>
  <si>
    <t>Angiogenin</t>
  </si>
  <si>
    <t>Plasma kallikrein</t>
  </si>
  <si>
    <t>Antileukoproteinase</t>
  </si>
  <si>
    <t>Vitronectin</t>
  </si>
  <si>
    <t>Isoform 4 of Glucosylceramidase</t>
  </si>
  <si>
    <t>Tissue alpha-L-fucosidase</t>
  </si>
  <si>
    <t>Fructose-bisphosphate aldolase A</t>
  </si>
  <si>
    <t>Cystatin-B</t>
  </si>
  <si>
    <t>Annexin A1</t>
  </si>
  <si>
    <t>Isoform Short of Platelet-derived growth factor subunit A</t>
  </si>
  <si>
    <t>Trefoil factor 1</t>
  </si>
  <si>
    <t>Histidine-rich glycoprotein</t>
  </si>
  <si>
    <t>Alpha-1B-glycoprotein</t>
  </si>
  <si>
    <t>Keratin, type II cytoskeletal 6B</t>
  </si>
  <si>
    <t>von Willebrand factor</t>
  </si>
  <si>
    <t>Semenogelin-1</t>
  </si>
  <si>
    <t>Tubulin beta-4A chain</t>
  </si>
  <si>
    <t>Isoform 2 of Glyceraldehyde-3-phosphate dehydrogenase</t>
  </si>
  <si>
    <t>Calpain small subunit 1</t>
  </si>
  <si>
    <t>Alpha-amylase 1</t>
  </si>
  <si>
    <t>Heat shock protein beta-1</t>
  </si>
  <si>
    <t>Isoform 3 of Insulin-like growth factor I</t>
  </si>
  <si>
    <t>Secretogranin-1</t>
  </si>
  <si>
    <t>Isoform 3 of Arginase-1</t>
  </si>
  <si>
    <t>Apolipoprotein D</t>
  </si>
  <si>
    <t>Protein S100-A8</t>
  </si>
  <si>
    <t>Plasma serine protease inhibitor</t>
  </si>
  <si>
    <t>Isoform 2 of Plasma protease C1 inhibitor</t>
  </si>
  <si>
    <t>Complement factor I</t>
  </si>
  <si>
    <t>Coagulation factor XIII B chain</t>
  </si>
  <si>
    <t>Isoform H14 of Myeloperoxidase</t>
  </si>
  <si>
    <t>Isoform 2 of Alkaline phosphatase, tissue-nonspecific isozyme</t>
  </si>
  <si>
    <t>Intercellular adhesion molecule 1</t>
  </si>
  <si>
    <t>60S acidic ribosomal protein P2</t>
  </si>
  <si>
    <t>Tetranectin</t>
  </si>
  <si>
    <t>Keratin, type I cytoskeletal 18</t>
  </si>
  <si>
    <t>Beta-casein</t>
  </si>
  <si>
    <t>Serine protease hepsin</t>
  </si>
  <si>
    <t>Uroporphyrinogen decarboxylase</t>
  </si>
  <si>
    <t>Alpha-galactosidase A</t>
  </si>
  <si>
    <t>Isoform 2 of Gelsolin</t>
  </si>
  <si>
    <t>ATP synthase subunit beta, mitochondrial</t>
  </si>
  <si>
    <t>Complement C2</t>
  </si>
  <si>
    <t>Protein S100-A9</t>
  </si>
  <si>
    <t>Protein S100-A6</t>
  </si>
  <si>
    <t>Apolipoprotein A-IV</t>
  </si>
  <si>
    <t>Alpha-enolase</t>
  </si>
  <si>
    <t>Isoform 5 of Tropomyosin alpha-3 chain</t>
  </si>
  <si>
    <t>Isoform 3 of Integrin alpha-V</t>
  </si>
  <si>
    <t>Lipoprotein lipase</t>
  </si>
  <si>
    <t>Beta-hexosaminidase subunit alpha</t>
  </si>
  <si>
    <t>Isoform 2 of Kallikrein-1</t>
  </si>
  <si>
    <t>Acyl-CoA-binding protein</t>
  </si>
  <si>
    <t>L-lactate dehydrogenase B chain</t>
  </si>
  <si>
    <t>Glutathione peroxidase 1</t>
  </si>
  <si>
    <t>Vitamin K-dependent protein S</t>
  </si>
  <si>
    <t>Protein disulfide-isomerase</t>
  </si>
  <si>
    <t>Prostate-specific antigen</t>
  </si>
  <si>
    <t>Cathepsin D</t>
  </si>
  <si>
    <t>Annexin A2</t>
  </si>
  <si>
    <t>Complement component C8 alpha chain</t>
  </si>
  <si>
    <t>Complement component C8 gamma chain</t>
  </si>
  <si>
    <t>Calpain-1 catalytic subunit</t>
  </si>
  <si>
    <t>Tubulin beta chain</t>
  </si>
  <si>
    <t>Trypsin-2</t>
  </si>
  <si>
    <t>Kappa-casein</t>
  </si>
  <si>
    <t>Decorin</t>
  </si>
  <si>
    <t>Prosaposin</t>
  </si>
  <si>
    <t>Beta-hexosaminidase subunit beta</t>
  </si>
  <si>
    <t>Cathepsin L1</t>
  </si>
  <si>
    <t>Profilin-1</t>
  </si>
  <si>
    <t>Isoform 2 of Adenine phosphoribosyltransferase</t>
  </si>
  <si>
    <t>Cathepsin B</t>
  </si>
  <si>
    <t>Heat shock protein HSP 90-alpha</t>
  </si>
  <si>
    <t>Isoform 2 of Proto-oncogene tyrosine-protein kinase receptor Ret</t>
  </si>
  <si>
    <t>Ribonuclease pancreatic</t>
  </si>
  <si>
    <t>Beta-microseminoprotein</t>
  </si>
  <si>
    <t>Isoform 2 of Annexin A6</t>
  </si>
  <si>
    <t>Rho-related GTP-binding protein RhoC</t>
  </si>
  <si>
    <t>Isoform 4 of Complement decay-accelerating factor</t>
  </si>
  <si>
    <t>Corticosteroid-binding globulin</t>
  </si>
  <si>
    <t>Isoform 2 of 4F2 cell-surface antigen heavy chain</t>
  </si>
  <si>
    <t>Heat shock protein HSP 90-beta</t>
  </si>
  <si>
    <t>Neutrophil elastase</t>
  </si>
  <si>
    <t>Isoform 3 of 72 kDa type IV collagenase</t>
  </si>
  <si>
    <t>Extracellular superoxide dismutase [Cu-Zn]</t>
  </si>
  <si>
    <t>Neprilysin</t>
  </si>
  <si>
    <t>Monocyte differentiation antigen CD14</t>
  </si>
  <si>
    <t>Complement factor H</t>
  </si>
  <si>
    <t>Fibroblast growth factor 4</t>
  </si>
  <si>
    <t>Vimentin</t>
  </si>
  <si>
    <t>Alpha-2-antiplasmin</t>
  </si>
  <si>
    <t>Annexin A5</t>
  </si>
  <si>
    <t>Insulin-like growth factor-binding protein 1</t>
  </si>
  <si>
    <t>40S ribosomal protein SA</t>
  </si>
  <si>
    <t>Glutathione S-transferase P</t>
  </si>
  <si>
    <t>Cystatin-SA</t>
  </si>
  <si>
    <t>Isoform 2 of Dihydropteridine reductase</t>
  </si>
  <si>
    <t>Isoform 2 of Glycodelin</t>
  </si>
  <si>
    <t>Fructose-1,6-bisphosphatase 1</t>
  </si>
  <si>
    <t>SPARC</t>
  </si>
  <si>
    <t>Isoform Non-brain of Clathrin light chain B</t>
  </si>
  <si>
    <t>Annexin A4</t>
  </si>
  <si>
    <t>Inhibin beta B chain</t>
  </si>
  <si>
    <t>Macrophage colony-stimulating factor 1</t>
  </si>
  <si>
    <t>Pro-cathepsin H</t>
  </si>
  <si>
    <t>Tumor-associated calcium signal transducer 2</t>
  </si>
  <si>
    <t>Complement C1s subcomponent</t>
  </si>
  <si>
    <t>Furin</t>
  </si>
  <si>
    <t>Isoform 2 of Leukotriene A-4 hydrolase</t>
  </si>
  <si>
    <t>Fructose-bisphosphate aldolase C</t>
  </si>
  <si>
    <t>Isoform 2 of Complement C4-A</t>
  </si>
  <si>
    <t>Nuclear export protein (Fragment)</t>
  </si>
  <si>
    <t>Putative transmembrane protein INAFM2</t>
  </si>
  <si>
    <t>Heat shock 70 kDa protein 1B</t>
  </si>
  <si>
    <t>Immunoglobulin alpha-2 heavy chain</t>
  </si>
  <si>
    <t>Immunoglobulin gamma-1 heavy chain</t>
  </si>
  <si>
    <t>Immunoglobulin kappa light chain</t>
  </si>
  <si>
    <t>Immunoglobulin lambda-1 light chain</t>
  </si>
  <si>
    <t>Immunoglobulin lambda constant 3</t>
  </si>
  <si>
    <t>Immunoglobulin kappa variable 1-13</t>
  </si>
  <si>
    <t>Calmodulin-3</t>
  </si>
  <si>
    <t>Secreted Ly-6/uPAR domain-containing protein 2</t>
  </si>
  <si>
    <t>Lysosomal alpha-glucosidase</t>
  </si>
  <si>
    <t>Isoform 5 of Osteopontin</t>
  </si>
  <si>
    <t>Isoform 2 of Receptor-type tyrosine-protein phosphatase F</t>
  </si>
  <si>
    <t>Thioredoxin</t>
  </si>
  <si>
    <t>Transforming growth factor beta-3</t>
  </si>
  <si>
    <t>Isoform 2 of Lysosomal protective protein</t>
  </si>
  <si>
    <t>Isoform 4 of Clusterin</t>
  </si>
  <si>
    <t>78 kDa glucose-regulated protein</t>
  </si>
  <si>
    <t>Laminin subunit gamma-1</t>
  </si>
  <si>
    <t>Heat shock cognate 71 kDa protein</t>
  </si>
  <si>
    <t>Lysosome-associated membrane glycoprotein 1</t>
  </si>
  <si>
    <t>Uteroglobin</t>
  </si>
  <si>
    <t>Cation-independent mannose-6-phosphate receptor</t>
  </si>
  <si>
    <t>Ribose-phosphate pyrophosphokinase 2</t>
  </si>
  <si>
    <t>Isoform 2 of Polyadenylate-binding protein 1</t>
  </si>
  <si>
    <t>Isoform 3 of Histidine--tRNA ligase, cytoplasmic</t>
  </si>
  <si>
    <t>Collagen alpha-1(VI) chain</t>
  </si>
  <si>
    <t>Collagen alpha-2(VI) chain</t>
  </si>
  <si>
    <t>Prolactin-inducible protein</t>
  </si>
  <si>
    <t>Creatine kinase B-type</t>
  </si>
  <si>
    <t>Annexin A3</t>
  </si>
  <si>
    <t>Isoform 2 of Alpha-actinin-1</t>
  </si>
  <si>
    <t>Isoform Somatic-2 of Angiotensin-converting enzyme</t>
  </si>
  <si>
    <t>Cadherin-1</t>
  </si>
  <si>
    <t>Isoform 3 of Xaa-Pro dipeptidase</t>
  </si>
  <si>
    <t>Ribonuclease inhibitor</t>
  </si>
  <si>
    <t>Elongation factor 2</t>
  </si>
  <si>
    <t>Protein disulfide-isomerase A4</t>
  </si>
  <si>
    <t>Complement component C6</t>
  </si>
  <si>
    <t>Tartrate-resistant acid phosphatase type 5</t>
  </si>
  <si>
    <t>Translationally-controlled tumor protein</t>
  </si>
  <si>
    <t>Delta-aminolevulinic acid dehydratase</t>
  </si>
  <si>
    <t>Plastin-2</t>
  </si>
  <si>
    <t>Acylamino-acid-releasing enzyme</t>
  </si>
  <si>
    <t>Isoform 2 of cAMP-dependent protein kinase type II-alpha regulatory subunit</t>
  </si>
  <si>
    <t>CD59 glycoprotein</t>
  </si>
  <si>
    <t>Macrophage migration inhibitory factor</t>
  </si>
  <si>
    <t>Isoform 2 of Glucosidase 2 subunit beta</t>
  </si>
  <si>
    <t>Isoform 2 of Farnesyl pyrophosphate synthase</t>
  </si>
  <si>
    <t>Carboxypeptidase M</t>
  </si>
  <si>
    <t>Isoform 2 of Nidogen-1</t>
  </si>
  <si>
    <t>Alcohol dehydrogenase [NADP(+)]</t>
  </si>
  <si>
    <t>Phospholipase A2, membrane associated</t>
  </si>
  <si>
    <t>Pyruvate kinase PKM</t>
  </si>
  <si>
    <t>Endoplasmin</t>
  </si>
  <si>
    <t>Interleukin-1 receptor type 1</t>
  </si>
  <si>
    <t>Matrix metalloproteinase-9</t>
  </si>
  <si>
    <t>Junction plakoglobin</t>
  </si>
  <si>
    <t>Aldose reductase</t>
  </si>
  <si>
    <t>Aminopeptidase N</t>
  </si>
  <si>
    <t>Isoform Gamma of Poliovirus receptor</t>
  </si>
  <si>
    <t>Eukaryotic peptide chain release factor GTP-binding subunit ERF3A</t>
  </si>
  <si>
    <t>Arylsulfatase A</t>
  </si>
  <si>
    <t>Isoform Short of Beta-1,4-galactosyltransferase 1</t>
  </si>
  <si>
    <t>Prostatic acid phosphatase</t>
  </si>
  <si>
    <t>Ezrin</t>
  </si>
  <si>
    <t>Folate receptor alpha</t>
  </si>
  <si>
    <t>Isoform 2 of N-acetylglucosamine-6-sulfatase</t>
  </si>
  <si>
    <t>Isoform VEGF148 of Vascular endothelial growth factor A</t>
  </si>
  <si>
    <t>Arylsulfatase B</t>
  </si>
  <si>
    <t>Beta-galactoside alpha-2,6-sialyltransferase 1</t>
  </si>
  <si>
    <t>Desmoplakin</t>
  </si>
  <si>
    <t>Metalloproteinase inhibitor 2</t>
  </si>
  <si>
    <t>Isoform 15 of CD44 antigen</t>
  </si>
  <si>
    <t>Ribosyldihydronicotinamide dehydrogenase [quinone]</t>
  </si>
  <si>
    <t>Carbonyl reductase [NADPH] 1</t>
  </si>
  <si>
    <t>Isoform 2 of Beta-galactosidase</t>
  </si>
  <si>
    <t>Histone H1.2</t>
  </si>
  <si>
    <t>Histo-blood group ABO system transferase</t>
  </si>
  <si>
    <t>Isoform 2 of Platelet glycoprotein 4</t>
  </si>
  <si>
    <t>Glycoprotein O</t>
  </si>
  <si>
    <t>Isoform 2 of Carboxypeptidase E</t>
  </si>
  <si>
    <t>Stathmin</t>
  </si>
  <si>
    <t>Alpha-N-acetylgalactosaminidase</t>
  </si>
  <si>
    <t>Heat shock 70 kDa protein 6</t>
  </si>
  <si>
    <t>Aspartate aminotransferase, cytoplasmic</t>
  </si>
  <si>
    <t>Isoform 2 of Interferon alpha/beta receptor 1</t>
  </si>
  <si>
    <t>Bactericidal permeability-increasing protein</t>
  </si>
  <si>
    <t>Isoform 4 of Sphingomyelin phosphodiesterase</t>
  </si>
  <si>
    <t>Calpain-2 catalytic subunit</t>
  </si>
  <si>
    <t>Ganglioside GM2 activator</t>
  </si>
  <si>
    <t>Galectin-3</t>
  </si>
  <si>
    <t>Insulin-like growth factor-binding protein 3</t>
  </si>
  <si>
    <t>T-complex protein 1 subunit alpha</t>
  </si>
  <si>
    <t>Insulin-like growth factor-binding protein 2</t>
  </si>
  <si>
    <t>Isoform 1 of Vinculin</t>
  </si>
  <si>
    <t>Lipopolysaccharide-binding protein</t>
  </si>
  <si>
    <t>Isoform 4 of Interleukin-1 receptor antagonist protein</t>
  </si>
  <si>
    <t>Isoform 2 of 60S ribosomal protein L17</t>
  </si>
  <si>
    <t>Phosphoglycerate mutase 1</t>
  </si>
  <si>
    <t>DNA repair protein XRCC1</t>
  </si>
  <si>
    <t>Isoform 2 of Peptidyl-glycine alpha-amidating monooxygenase</t>
  </si>
  <si>
    <t>Myosin regulatory light chain 12A</t>
  </si>
  <si>
    <t>Isoform 5 of Tumor necrosis factor receptor superfamily member 1A</t>
  </si>
  <si>
    <t>Gamma-glutamyltranspeptidase 1</t>
  </si>
  <si>
    <t>Spermidine synthase</t>
  </si>
  <si>
    <t>Alpha-1-acid glycoprotein 2</t>
  </si>
  <si>
    <t>Amiloride-sensitive amine oxidase [copper-containing]</t>
  </si>
  <si>
    <t>Inter-alpha-trypsin inhibitor heavy chain H1</t>
  </si>
  <si>
    <t>Bile salt-activated lipase</t>
  </si>
  <si>
    <t>Isoform 2 of Follistatin</t>
  </si>
  <si>
    <t>Thymidine phosphorylase</t>
  </si>
  <si>
    <t>Transcobalamin-1</t>
  </si>
  <si>
    <t>Isoform 2 of Annexin A7</t>
  </si>
  <si>
    <t>Gastricsin</t>
  </si>
  <si>
    <t>Isoform 2 of Kallikrein-2</t>
  </si>
  <si>
    <t>Serine protease inhibitor Kazal-type 2</t>
  </si>
  <si>
    <t>Azurocidin</t>
  </si>
  <si>
    <t>Proteasome subunit beta type-1</t>
  </si>
  <si>
    <t>Lamin-B1</t>
  </si>
  <si>
    <t>Isoform 3 of Calpastatin</t>
  </si>
  <si>
    <t>Ephrin-A1</t>
  </si>
  <si>
    <t>Isoform 3 of Collagen alpha-1(IX) chain</t>
  </si>
  <si>
    <t>N(4)-(beta-N-acetylglucosaminyl)-L-asparaginase</t>
  </si>
  <si>
    <t>Parathymosin</t>
  </si>
  <si>
    <t>Pleiotrophin</t>
  </si>
  <si>
    <t>Glutathione S-transferase Mu 3</t>
  </si>
  <si>
    <t>Cysteine and glycine-rich protein 1</t>
  </si>
  <si>
    <t>Isoform 2 of Filamin-A</t>
  </si>
  <si>
    <t>Synaptotagmin-1</t>
  </si>
  <si>
    <t>Isoform 2 of 5-nucleotidase</t>
  </si>
  <si>
    <t>Isoform 2 of Glycerol-3-phosphate dehydrogenase [NAD(+)], cytoplasmic</t>
  </si>
  <si>
    <t>Midkine</t>
  </si>
  <si>
    <t>Isoform Soluble of Catechol O-methyltransferase</t>
  </si>
  <si>
    <t>Oxysterol-binding protein 1</t>
  </si>
  <si>
    <t>Protein-L-isoaspartate(D-aspartate) O-methyltransferase</t>
  </si>
  <si>
    <t>Isoform 2 of Lactoperoxidase</t>
  </si>
  <si>
    <t>Iduronate 2-sulfatase</t>
  </si>
  <si>
    <t>Isoform 2 of Ubiquitin-like modifier-activating enzyme 1</t>
  </si>
  <si>
    <t>Glutathione peroxidase 3</t>
  </si>
  <si>
    <t>Nucleoside diphosphate kinase B</t>
  </si>
  <si>
    <t>Insulin-like growth factor-binding protein 4</t>
  </si>
  <si>
    <t>Carbonic anhydrase 4</t>
  </si>
  <si>
    <t>Neutrophil collagenase</t>
  </si>
  <si>
    <t>Macrophage mannose receptor 1</t>
  </si>
  <si>
    <t>Fibulin-1</t>
  </si>
  <si>
    <t>Isoform 3 of Carbonic anhydrase 6</t>
  </si>
  <si>
    <t>Peptidyl-prolyl cis-trans isomerase B</t>
  </si>
  <si>
    <t>Anosmin-1</t>
  </si>
  <si>
    <t>Isoform 2 of Tryptophan--tRNA ligase, cytoplasmic</t>
  </si>
  <si>
    <t>40S ribosomal protein S3</t>
  </si>
  <si>
    <t>Receptor-type tyrosine-protein phosphatase delta</t>
  </si>
  <si>
    <t>Isoform 2 of Receptor-type tyrosine-protein phosphatase gamma</t>
  </si>
  <si>
    <t>Isoform 2 of Adenosylhomocysteinase</t>
  </si>
  <si>
    <t>Cofilin-1</t>
  </si>
  <si>
    <t>Eukaryotic translation initiation factor 4B</t>
  </si>
  <si>
    <t>Myeloblastin</t>
  </si>
  <si>
    <t>Insulin-like growth factor-binding protein 6</t>
  </si>
  <si>
    <t>Insulin-like growth factor-binding protein 5</t>
  </si>
  <si>
    <t>Isoform 4 of Low molecular weight phosphotyrosine protein phosphatase</t>
  </si>
  <si>
    <t>Isoform 6 of Tenascin</t>
  </si>
  <si>
    <t>Deoxyribonuclease-1</t>
  </si>
  <si>
    <t>Zinc-alpha-2-glycoprotein</t>
  </si>
  <si>
    <t>40S ribosomal protein S12</t>
  </si>
  <si>
    <t>Isoform 2 of DnaJ homolog subfamily B member 2</t>
  </si>
  <si>
    <t>Cathepsin S</t>
  </si>
  <si>
    <t>Proteasome subunit alpha type-1</t>
  </si>
  <si>
    <t>Proteasome subunit alpha type-2</t>
  </si>
  <si>
    <t>Isoform 2 of Proteasome subunit alpha type-3</t>
  </si>
  <si>
    <t>Proteasome subunit alpha type-4</t>
  </si>
  <si>
    <t>Protein S100-P</t>
  </si>
  <si>
    <t>Moesin</t>
  </si>
  <si>
    <t>60S ribosomal protein L13</t>
  </si>
  <si>
    <t>Protein S100-A4</t>
  </si>
  <si>
    <t>Alpha-1,3-mannosyl-glycoprotein 2-beta-N-acetylglucosaminyltransferase</t>
  </si>
  <si>
    <t>Elongation factor 1-gamma</t>
  </si>
  <si>
    <t>Peptidyl-prolyl cis-trans isomerase FKBP2</t>
  </si>
  <si>
    <t>Serum paraoxonase/arylesterase 1</t>
  </si>
  <si>
    <t>Annexin A13</t>
  </si>
  <si>
    <t>G0/G1 switch protein 2</t>
  </si>
  <si>
    <t>Dipeptidyl peptidase 4</t>
  </si>
  <si>
    <t>Collagen alpha-1(VIII) chain</t>
  </si>
  <si>
    <t>Calreticulin</t>
  </si>
  <si>
    <t>Isoform 3 of Calnexin</t>
  </si>
  <si>
    <t>Isoform 2 of Proteasome subunit beta type-8</t>
  </si>
  <si>
    <t>Isoform LMP2.S of Proteasome subunit beta type-9</t>
  </si>
  <si>
    <t>Proteasome subunit alpha type-5</t>
  </si>
  <si>
    <t>Proteasome subunit beta type-4</t>
  </si>
  <si>
    <t>Proteasome subunit beta type-6</t>
  </si>
  <si>
    <t>Isoform 2 of Sperm-specific antigen 2</t>
  </si>
  <si>
    <t>Granulins</t>
  </si>
  <si>
    <t>Receptor-type tyrosine-protein phosphatase mu</t>
  </si>
  <si>
    <t>Isoform 2 of Cytosol aminopeptidase</t>
  </si>
  <si>
    <t>ADP-ribosyl cyclase/cyclic ADP-ribose hydrolase 1</t>
  </si>
  <si>
    <t>Inositol monophosphatase 1</t>
  </si>
  <si>
    <t>Transketolase</t>
  </si>
  <si>
    <t>Kallistatin</t>
  </si>
  <si>
    <t>Isoform 3 of Elongation factor 1-delta</t>
  </si>
  <si>
    <t>Endoplasmic reticulum resident protein 29</t>
  </si>
  <si>
    <t>Peroxiredoxin-6</t>
  </si>
  <si>
    <t>Flavin reductase (NADPH)</t>
  </si>
  <si>
    <t>Isoform Cytoplasmic+peroxisomal of Peroxiredoxin-5, mitochondrial</t>
  </si>
  <si>
    <t>Isoform 2 of D-dopachrome decarboxylase</t>
  </si>
  <si>
    <t>Isoform 2 of Thioredoxin-dependent peroxide reductase, mitochondrial</t>
  </si>
  <si>
    <t>UMP-CMP kinase</t>
  </si>
  <si>
    <t>Phosphatidylethanolamine-binding protein 1</t>
  </si>
  <si>
    <t>Protein disulfide-isomerase A3</t>
  </si>
  <si>
    <t>Isoform Short of Glycylpeptide N-tetradecanoyltransferase 1</t>
  </si>
  <si>
    <t>HLA class I histocompatibility antigen, B-54 alpha chain</t>
  </si>
  <si>
    <t>Adenylosuccinate synthetase isozyme 2</t>
  </si>
  <si>
    <t>Alpha-2-macroglobulin receptor-associated protein</t>
  </si>
  <si>
    <t>Isoform 3 of CAP-Gly domain-containing linker protein 1</t>
  </si>
  <si>
    <t>Isoform 3 of Sorcin</t>
  </si>
  <si>
    <t>Leukocyte elastase inhibitor</t>
  </si>
  <si>
    <t>Lipocalin-1</t>
  </si>
  <si>
    <t>Coronin-1A</t>
  </si>
  <si>
    <t>Protein S100-A7</t>
  </si>
  <si>
    <t>S-adenosylmethionine synthase isoform type-2</t>
  </si>
  <si>
    <t>Isoform 2 of Syndecan-4</t>
  </si>
  <si>
    <t>Isoform 2 of Bifunctional purine biosynthesis protein PURH</t>
  </si>
  <si>
    <t>Isoform 6 of Heterogeneous nuclear ribonucleoprotein H3</t>
  </si>
  <si>
    <t>Caspase-14</t>
  </si>
  <si>
    <t>Isoform Short of 14-3-3 protein beta/alpha</t>
  </si>
  <si>
    <t>Isoform 2 of 14-3-3 protein sigma</t>
  </si>
  <si>
    <t>Stress-induced-phosphoprotein 1</t>
  </si>
  <si>
    <t>Protein S100-A11</t>
  </si>
  <si>
    <t>Peroxiredoxin-2</t>
  </si>
  <si>
    <t>Deoxycytidylate deaminase</t>
  </si>
  <si>
    <t>Kinesin-1 heavy chain</t>
  </si>
  <si>
    <t>Isoform 2 of Cleavage stimulation factor subunit 2</t>
  </si>
  <si>
    <t>N-acetylgalactosamine-6-sulfatase</t>
  </si>
  <si>
    <t>Ribonuclease 4</t>
  </si>
  <si>
    <t>Isoform 3 of Bifunctional epoxide hydrolase 2</t>
  </si>
  <si>
    <t>Heat shock 70 kDa protein 4</t>
  </si>
  <si>
    <t>Glypican-1</t>
  </si>
  <si>
    <t>Serpin B6</t>
  </si>
  <si>
    <t>Radixin</t>
  </si>
  <si>
    <t>Sepiapterin reductase</t>
  </si>
  <si>
    <t>Isoform 4 of Nuclear receptor ROR-alpha</t>
  </si>
  <si>
    <t>Thrombospondin-4</t>
  </si>
  <si>
    <t>Alpha-L-iduronidase</t>
  </si>
  <si>
    <t>Myosin-9</t>
  </si>
  <si>
    <t>Myosin-10</t>
  </si>
  <si>
    <t>Metalloproteinase inhibitor 3</t>
  </si>
  <si>
    <t>Glutaredoxin-1</t>
  </si>
  <si>
    <t>Protein phosphatase 1A</t>
  </si>
  <si>
    <t>Insulin-like growth factor-binding protein complex acid labile subunit</t>
  </si>
  <si>
    <t>26S proteasome regulatory subunit 7</t>
  </si>
  <si>
    <t>60S ribosomal protein L4</t>
  </si>
  <si>
    <t>Isoform 3 of Phosphoglucomutase-1</t>
  </si>
  <si>
    <t>Isoform 5 of Activin receptor type-1B</t>
  </si>
  <si>
    <t>Isoform 2 of Serpin B5</t>
  </si>
  <si>
    <t>Pigment epithelium-derived factor</t>
  </si>
  <si>
    <t>GMP reductase 1</t>
  </si>
  <si>
    <t>Isoform Short of Complement factor H-related protein 2</t>
  </si>
  <si>
    <t>Signal recognition particle 14 kDa protein</t>
  </si>
  <si>
    <t>Transgelin-2</t>
  </si>
  <si>
    <t>Transaldolase</t>
  </si>
  <si>
    <t>Isoform 3 of Collagen alpha-1(XVIII) chain</t>
  </si>
  <si>
    <t>Isoform 2 of Macrophage-capping protein</t>
  </si>
  <si>
    <t>Interleukin-6 receptor subunit beta</t>
  </si>
  <si>
    <t>Isoform 2 of T-complex protein 1 subunit zeta</t>
  </si>
  <si>
    <t>Malate dehydrogenase, cytoplasmic</t>
  </si>
  <si>
    <t>Isoform 2 of Malate dehydrogenase, mitochondrial</t>
  </si>
  <si>
    <t>Eukaryotic translation initiation factor 2 subunit 3</t>
  </si>
  <si>
    <t>Myeloid cell nuclear differentiation antigen</t>
  </si>
  <si>
    <t>Prostaglandin-H2 D-isomerase</t>
  </si>
  <si>
    <t>Isoform 2 of Aldo-keto reductase family 1 member C3</t>
  </si>
  <si>
    <t>Isoform 2 of Epidermal growth factor receptor substrate 15</t>
  </si>
  <si>
    <t>Leukemia inhibitory factor receptor</t>
  </si>
  <si>
    <t>60S ribosomal protein L35</t>
  </si>
  <si>
    <t>Lysosomal Pro-X carboxypeptidase</t>
  </si>
  <si>
    <t>Isoform 4 of Biotinidase</t>
  </si>
  <si>
    <t>Nicotinamide phosphoribosyltransferase</t>
  </si>
  <si>
    <t>Afamin</t>
  </si>
  <si>
    <t>Peptidyl-prolyl cis-trans isomerase C</t>
  </si>
  <si>
    <t>Isoform Crk-I of Adapter molecule crk</t>
  </si>
  <si>
    <t>Crk-like protein</t>
  </si>
  <si>
    <t>Isoform 2 of Vesicle-fusing ATPase</t>
  </si>
  <si>
    <t>40S ribosomal protein S10</t>
  </si>
  <si>
    <t>Glucosamine-6-phosphate isomerase 1</t>
  </si>
  <si>
    <t>Ras GTPase-activating-like protein IQGAP1</t>
  </si>
  <si>
    <t>Isoform GN-1S of Glycogenin-1</t>
  </si>
  <si>
    <t>Isoform 4 of Alpha-S1-casein</t>
  </si>
  <si>
    <t>F-actin-capping protein subunit alpha-2</t>
  </si>
  <si>
    <t>Isoform 2 of F-actin-capping protein subunit beta</t>
  </si>
  <si>
    <t>Aldehyde dehydrogenase family 1 member A3</t>
  </si>
  <si>
    <t>60S ribosomal protein L29</t>
  </si>
  <si>
    <t>Galectin-7</t>
  </si>
  <si>
    <t>Neuronal pentraxin-2</t>
  </si>
  <si>
    <t>Xanthine dehydrogenase/oxidase</t>
  </si>
  <si>
    <t>LIM and senescent cell antigen-like-containing domain protein 1</t>
  </si>
  <si>
    <t>Isoform 2 of Tissue factor pathway inhibitor 2</t>
  </si>
  <si>
    <t>Serpin B4</t>
  </si>
  <si>
    <t>Isoform 4 of Protein PRRC2A</t>
  </si>
  <si>
    <t>Glutathione synthetase</t>
  </si>
  <si>
    <t>Heat shock 70 kDa protein 13</t>
  </si>
  <si>
    <t>Protein NOV homolog</t>
  </si>
  <si>
    <t>Isoform 2 of 4-trimethylaminobutyraldehyde dehydrogenase</t>
  </si>
  <si>
    <t>Protein-glutamine gamma-glutamyltransferase 4</t>
  </si>
  <si>
    <t>Kunitz-type protease inhibitor 3</t>
  </si>
  <si>
    <t>Fatty acid synthase</t>
  </si>
  <si>
    <t>Isoform 2 of Protein farnesyltransferase/geranylgeranyltransferase type-1 subunit alpha</t>
  </si>
  <si>
    <t>Isoform 2 of T-complex protein 1 subunit gamma</t>
  </si>
  <si>
    <t>Isoform 2 of Alpha-aminoadipic semialdehyde dehydrogenase</t>
  </si>
  <si>
    <t>Serine--tRNA ligase, cytoplasmic</t>
  </si>
  <si>
    <t>Transmembrane emp24 domain-containing protein 10</t>
  </si>
  <si>
    <t>Isoform VEGF-B167 of Vascular endothelial growth factor B</t>
  </si>
  <si>
    <t>Histidine triad nucleotide-binding protein 1</t>
  </si>
  <si>
    <t>Isoform 1 of Retinoic acid receptor responder protein 1</t>
  </si>
  <si>
    <t>Selenoprotein P</t>
  </si>
  <si>
    <t>Matrix metalloproteinase-14</t>
  </si>
  <si>
    <t>Rab GDP dissociation inhibitor beta</t>
  </si>
  <si>
    <t>Hsc70-interacting protein</t>
  </si>
  <si>
    <t>Vasodilator-stimulated phosphoprotein</t>
  </si>
  <si>
    <t>Isoform 5 of Dynamin-2</t>
  </si>
  <si>
    <t>Tumor necrosis factor ligand superfamily member 10</t>
  </si>
  <si>
    <t>Basal cell adhesion molecule</t>
  </si>
  <si>
    <t>Palmitoyl-protein thioesterase 1</t>
  </si>
  <si>
    <t>Isoform 2 of T-complex protein 1 subunit theta</t>
  </si>
  <si>
    <t>Isoform 2 of T-complex protein 1 subunit delta</t>
  </si>
  <si>
    <t>Isoform 2 of Annexin A11</t>
  </si>
  <si>
    <t>Ras-related protein Rab-5C</t>
  </si>
  <si>
    <t>Ras-related protein Rab-7a</t>
  </si>
  <si>
    <t>Isoform Short of Ras-related protein Rab-27A</t>
  </si>
  <si>
    <t>Isoform 2 of Dual specificity protein phosphatase 3</t>
  </si>
  <si>
    <t>Matrix metalloproteinase-15</t>
  </si>
  <si>
    <t>N-sulphoglucosamine sulphohydrolase</t>
  </si>
  <si>
    <t>Zinc finger protein 75D</t>
  </si>
  <si>
    <t>Isoform 2 of 6-phosphogluconate dehydrogenase, decarboxylating</t>
  </si>
  <si>
    <t>Rho GDP-dissociation inhibitor 1</t>
  </si>
  <si>
    <t>Rho GDP-dissociation inhibitor 2</t>
  </si>
  <si>
    <t>2-iminobutanoate/2-iminopropanoate deaminase</t>
  </si>
  <si>
    <t>Spermine synthase</t>
  </si>
  <si>
    <t>Ephrin-B2</t>
  </si>
  <si>
    <t>Isoform 2 of Stanniocalcin-1</t>
  </si>
  <si>
    <t>F-actin-capping protein subunit alpha-1</t>
  </si>
  <si>
    <t>Cysteine-rich protein 2</t>
  </si>
  <si>
    <t>Biliverdin reductase A</t>
  </si>
  <si>
    <t>Arfaptin-1</t>
  </si>
  <si>
    <t>Isoform 2 of ATP-citrate synthase</t>
  </si>
  <si>
    <t>Dipeptidyl peptidase 1</t>
  </si>
  <si>
    <t>Pituitary tumor-transforming gene 1 protein-interacting protein</t>
  </si>
  <si>
    <t>Cysteine-rich secretory protein 1</t>
  </si>
  <si>
    <t>Cysteine-rich secretory protein 3</t>
  </si>
  <si>
    <t>Isoform 4 of Voltage-dependent calcium channel subunit alpha-2/delta-1</t>
  </si>
  <si>
    <t>Isoform 2 of Ubiquitin carboxyl-terminal hydrolase 14</t>
  </si>
  <si>
    <t>Isoform 2 of UV excision repair protein RAD23 homolog A</t>
  </si>
  <si>
    <t>UV excision repair protein RAD23 homolog B</t>
  </si>
  <si>
    <t>Isoform 2 of Ephrin type-A receptor 5</t>
  </si>
  <si>
    <t>Isoform 4 of Ephrin type-B receptor 4</t>
  </si>
  <si>
    <t>Alpha-N-acetylglucosaminidase</t>
  </si>
  <si>
    <t>Isoform 3 of Adenylate kinase 2, mitochondrial</t>
  </si>
  <si>
    <t>Growth arrest-specific protein 1</t>
  </si>
  <si>
    <t>Alpha-soluble NSF attachment protein</t>
  </si>
  <si>
    <t>Isoform Rpn10E of 26S proteasome non-ATPase regulatory subunit 4</t>
  </si>
  <si>
    <t>Isoform 3 of Phospholipid transfer protein</t>
  </si>
  <si>
    <t>Transitional endoplasmic reticulum ATPase</t>
  </si>
  <si>
    <t>Mesencephalic astrocyte-derived neurotrophic factor</t>
  </si>
  <si>
    <t>Isoform 3 of Nucleosome assembly protein 1-like 1</t>
  </si>
  <si>
    <t>Isoform Alpha of Pancreatic secretory granule membrane major glycoprotein GP2</t>
  </si>
  <si>
    <t>Laminin subunit beta-2</t>
  </si>
  <si>
    <t>Isoform 2 of Tumor protein D52</t>
  </si>
  <si>
    <t>Puromycin-sensitive aminopeptidase</t>
  </si>
  <si>
    <t>BH3-interacting domain death agonist</t>
  </si>
  <si>
    <t>Epididymal secretory protein E3-beta</t>
  </si>
  <si>
    <t>Protein FAM3B</t>
  </si>
  <si>
    <t>Myotrophin</t>
  </si>
  <si>
    <t>Neutrophil defensin 3</t>
  </si>
  <si>
    <t>Beta-defensin 131</t>
  </si>
  <si>
    <t>Isoform 4 of Actin-related protein 2/3 complex subunit 4</t>
  </si>
  <si>
    <t>Beta-defensin 1</t>
  </si>
  <si>
    <t>Rab GDP dissociation inhibitor alpha</t>
  </si>
  <si>
    <t>Isoform 2 of Triosephosphate isomerase</t>
  </si>
  <si>
    <t>Isoform Smooth muscle of Myosin light polypeptide 6</t>
  </si>
  <si>
    <t>Eukaryotic initiation factor 4A-I</t>
  </si>
  <si>
    <t>Proteasome subunit alpha type-6</t>
  </si>
  <si>
    <t>Protein S100-A10</t>
  </si>
  <si>
    <t>Isoform 1 of Cell division control protein 42 homolog</t>
  </si>
  <si>
    <t>Ras-related protein Rab-5B</t>
  </si>
  <si>
    <t>Ubiquitin-conjugating enzyme E2 N</t>
  </si>
  <si>
    <t>Alpha-centractin</t>
  </si>
  <si>
    <t>Pterin-4-alpha-carbinolamine dehydratase</t>
  </si>
  <si>
    <t>10 kDa heat shock protein, mitochondrial</t>
  </si>
  <si>
    <t>Lysozyme C</t>
  </si>
  <si>
    <t>Beta-2-microglobulin</t>
  </si>
  <si>
    <t>Epididymal secretory protein E1</t>
  </si>
  <si>
    <t>Isoform 5 of Coatomer subunit zeta-1</t>
  </si>
  <si>
    <t>Isoform 2 of Small ubiquitin-related modifier 2</t>
  </si>
  <si>
    <t>Ubiquitin-fold modifier 1</t>
  </si>
  <si>
    <t>Nuclear transport factor 2</t>
  </si>
  <si>
    <t>14-3-3 protein gamma</t>
  </si>
  <si>
    <t>Isoform 2 of 26S proteasome regulatory subunit 8</t>
  </si>
  <si>
    <t>40S ribosomal protein S16</t>
  </si>
  <si>
    <t>14-3-3 protein epsilon</t>
  </si>
  <si>
    <t>40S ribosomal protein S14</t>
  </si>
  <si>
    <t>40S ribosomal protein S11</t>
  </si>
  <si>
    <t>U6 snRNA-associated Sm-like protein LSm3</t>
  </si>
  <si>
    <t>Thymosin beta-4</t>
  </si>
  <si>
    <t>Isoform 2 of Ras-related protein Rab-11A</t>
  </si>
  <si>
    <t>Isoform 2 of Eukaryotic peptide chain release factor subunit 1</t>
  </si>
  <si>
    <t>Isoform 2 of Cellular nucleic acid-binding protein</t>
  </si>
  <si>
    <t>Histone H4</t>
  </si>
  <si>
    <t>Isoform 3 of Ras-related protein Rab-1A</t>
  </si>
  <si>
    <t>40S ribosomal protein S28</t>
  </si>
  <si>
    <t>40S ribosomal protein S30</t>
  </si>
  <si>
    <t>60S ribosomal protein L30</t>
  </si>
  <si>
    <t>Isoform 2 of 60S ribosomal protein L11</t>
  </si>
  <si>
    <t>Peptidyl-prolyl cis-trans isomerase A</t>
  </si>
  <si>
    <t>Peptidyl-prolyl cis-trans isomerase FKBP1A</t>
  </si>
  <si>
    <t>Ubiquitin-60S ribosomal protein L40</t>
  </si>
  <si>
    <t>Ras-related C3 botulinum toxin substrate 1</t>
  </si>
  <si>
    <t>Isoform 3 of AP-2 complex subunit beta</t>
  </si>
  <si>
    <t>14-3-3 protein zeta/delta</t>
  </si>
  <si>
    <t>60S ribosomal protein L38</t>
  </si>
  <si>
    <t>S-phase kinase-associated protein 1</t>
  </si>
  <si>
    <t>40S ribosomal protein S21</t>
  </si>
  <si>
    <t>Eukaryotic translation initiation factor 5A-1</t>
  </si>
  <si>
    <t>Receptor of activated protein C kinase 1</t>
  </si>
  <si>
    <t>Actin, cytoplasmic 2</t>
  </si>
  <si>
    <t>Actin, gamma-enteric smooth muscle</t>
  </si>
  <si>
    <t>Nuclease-sensitive element-binding protein 1</t>
  </si>
  <si>
    <t>Isoform 2 of Tropomyosin alpha-4 chain</t>
  </si>
  <si>
    <t>Isoform 2 of Tubulin alpha-4A chain</t>
  </si>
  <si>
    <t>Isoform 3 of Platelet-activating factor acetylhydrolase IB subunit beta</t>
  </si>
  <si>
    <t>Hemoglobin subunit beta</t>
  </si>
  <si>
    <t>Isoform 2 of T-complex protein 1 subunit beta</t>
  </si>
  <si>
    <t>Glutathione S-transferase omega-1</t>
  </si>
  <si>
    <t>Isoform 2 of Biogenesis of lysosome-related organelles complex 1 subunit 1</t>
  </si>
  <si>
    <t>Isoform 4 of Sushi repeat-containing protein SRPX</t>
  </si>
  <si>
    <t>C-X-C motif chemokine 6</t>
  </si>
  <si>
    <t>Neutrophil gelatinase-associated lipocalin</t>
  </si>
  <si>
    <t>Nucleobindin-2</t>
  </si>
  <si>
    <t>Protein S100-A12</t>
  </si>
  <si>
    <t>Brain acid soluble protein 1</t>
  </si>
  <si>
    <t>Dermcidin</t>
  </si>
  <si>
    <t>Isoform 2 of Dermcidin</t>
  </si>
  <si>
    <t>60S ribosomal protein L24</t>
  </si>
  <si>
    <t>Fibulin-2</t>
  </si>
  <si>
    <t>Basement membrane-specific heparan sulfate proteoglycan core protein</t>
  </si>
  <si>
    <t>Ephrin-B1</t>
  </si>
  <si>
    <t>Peptidyl-prolyl cis-trans isomerase FKBP3</t>
  </si>
  <si>
    <t>Sorbitol dehydrogenase</t>
  </si>
  <si>
    <t>Spectrin beta chain, non-erythrocytic 1</t>
  </si>
  <si>
    <t>Di-N-acetylchitobiase</t>
  </si>
  <si>
    <t>Fatty acid-binding protein, epidermal</t>
  </si>
  <si>
    <t>Isoform 2 of Adenylyl cyclase-associated protein 1</t>
  </si>
  <si>
    <t>Isoform B of Interleukin-1 receptor-like 1</t>
  </si>
  <si>
    <t>Tyrosine-protein kinase transmembrane receptor ROR2</t>
  </si>
  <si>
    <t>Isoform 2 of N-acylethanolamine-hydrolyzing acid amidase</t>
  </si>
  <si>
    <t>Semenogelin-2</t>
  </si>
  <si>
    <t>Desmoglein-1</t>
  </si>
  <si>
    <t>Isoform 2B of Desmocollin-2</t>
  </si>
  <si>
    <t>Peptidyl-prolyl cis-trans isomerase FKBP4</t>
  </si>
  <si>
    <t>Procollagen-lysine,2-oxoglutarate 5-dioxygenase 1</t>
  </si>
  <si>
    <t>Nucleobindin-1</t>
  </si>
  <si>
    <t>60S ribosomal protein L6</t>
  </si>
  <si>
    <t>Isoform 2 of Transforming growth factor beta receptor type 3</t>
  </si>
  <si>
    <t>6-pyruvoyl tetrahydrobiopterin synthase</t>
  </si>
  <si>
    <t>Isoform 2 of Urokinase plasminogen activator surface receptor</t>
  </si>
  <si>
    <t>Complement factor H-related protein 1</t>
  </si>
  <si>
    <t>Isoform PSMA of Glutamate carboxypeptidase 2</t>
  </si>
  <si>
    <t>Isoform E of Eukaryotic translation initiation factor 4 gamma 1</t>
  </si>
  <si>
    <t>Hepatocyte growth factor activator</t>
  </si>
  <si>
    <t>Isoform 2 of Lactoylglutathione lyase</t>
  </si>
  <si>
    <t>Activin receptor type-1</t>
  </si>
  <si>
    <t>14-3-3 protein eta</t>
  </si>
  <si>
    <t>Isoform 6 of Focal adhesion kinase 1</t>
  </si>
  <si>
    <t>Isoform 2 of Glutamine--fructose-6-phosphate aminotransferase [isomerizing] 1</t>
  </si>
  <si>
    <t>Isoform 3 of Proteasome activator complex subunit 1</t>
  </si>
  <si>
    <t>Isoform 4 of Amyloid-like protein 2</t>
  </si>
  <si>
    <t>Fibromodulin</t>
  </si>
  <si>
    <t>Peroxiredoxin-1</t>
  </si>
  <si>
    <t>Isoform 2 of 60S ribosomal protein L18</t>
  </si>
  <si>
    <t>Trefoil factor 3</t>
  </si>
  <si>
    <t>Isoform Epsilon of Apoptosis regulator BAX</t>
  </si>
  <si>
    <t>Protocadherin-1</t>
  </si>
  <si>
    <t>Isoform 4 of Serine/threonine-protein phosphatase 2B catalytic subunit alpha isoform</t>
  </si>
  <si>
    <t>Isoform 3 of Quinone oxidoreductase</t>
  </si>
  <si>
    <t>Isoform 2 of Epithelial discoidin domain-containing receptor 1</t>
  </si>
  <si>
    <t>Isoform 3 of Golgin subfamily A member 3</t>
  </si>
  <si>
    <t>Galectin-3-binding protein</t>
  </si>
  <si>
    <t>Isoform 1B of Desmocollin-1</t>
  </si>
  <si>
    <t>Testican-1</t>
  </si>
  <si>
    <t>Neuroblast differentiation-associated protein AHNAK</t>
  </si>
  <si>
    <t>Alpha-1,6-mannosyl-glycoprotein 2-beta-N-acetylglucosaminyltransferase</t>
  </si>
  <si>
    <t>Polypeptide N-acetylgalactosaminyltransferase 2</t>
  </si>
  <si>
    <t>Polypeptide N-acetylgalactosaminyltransferase 1</t>
  </si>
  <si>
    <t>Isoform C of AP-1 complex subunit beta-1</t>
  </si>
  <si>
    <t>Isoform 4 of Twinfilin-1</t>
  </si>
  <si>
    <t>Isoform 2 of EGF-containing fibulin-like extracellular matrix protein 1</t>
  </si>
  <si>
    <t>Follistatin-related protein 1</t>
  </si>
  <si>
    <t>Tyrosine-protein kinase Mer</t>
  </si>
  <si>
    <t>Isoform 2 of Dihydropyrimidine dehydrogenase [NADP(+)]</t>
  </si>
  <si>
    <t>Vesicular integral-membrane protein VIP36</t>
  </si>
  <si>
    <t>Isoform 2 of Receptor-type tyrosine-protein phosphatase eta</t>
  </si>
  <si>
    <t>Unconventional myosin-Ie</t>
  </si>
  <si>
    <t>Isoform 2 of Protein flightless-1 homolog</t>
  </si>
  <si>
    <t>Isoform 7 of S-methyl-5-thioadenosine phosphorylase</t>
  </si>
  <si>
    <t>Peroxiredoxin-4</t>
  </si>
  <si>
    <t>Isoform 2 of Semaphorin-3B</t>
  </si>
  <si>
    <t>DnaJ homolog subfamily C member 3</t>
  </si>
  <si>
    <t>Selenium-binding protein 1</t>
  </si>
  <si>
    <t>Isoform 2 of Chitotriosidase-1</t>
  </si>
  <si>
    <t>Nucleoside diphosphate kinase 3</t>
  </si>
  <si>
    <t>Isoform 2 of cGMP-dependent protein kinase 2</t>
  </si>
  <si>
    <t>Semaphorin-3F</t>
  </si>
  <si>
    <t>Isoform 5 of Inactive tyrosine-protein kinase 7</t>
  </si>
  <si>
    <t>Isoform 2 of Receptor-type tyrosine-protein phosphatase S</t>
  </si>
  <si>
    <t>Ubiquitin-conjugating enzyme E2 variant 1</t>
  </si>
  <si>
    <t>Mesothelin</t>
  </si>
  <si>
    <t>Isoform 4 of Mesothelin</t>
  </si>
  <si>
    <t>Protein OS-9</t>
  </si>
  <si>
    <t>28 kDa heat- and acid-stable phosphoprotein</t>
  </si>
  <si>
    <t>Isoform 2 of Disintegrin and metalloproteinase domain-containing protein 9</t>
  </si>
  <si>
    <t>Isoform 10 of Disintegrin and metalloproteinase domain-containing protein 15</t>
  </si>
  <si>
    <t>Limbic system-associated membrane protein</t>
  </si>
  <si>
    <t>Acid ceramidase</t>
  </si>
  <si>
    <t>Dynactin subunit 2</t>
  </si>
  <si>
    <t>Isoform 2 of CD166 antigen</t>
  </si>
  <si>
    <t>Isoform 3 of Spectrin alpha chain, non-erythrocytic 1</t>
  </si>
  <si>
    <t>Isoform 2 of Calcyphosin</t>
  </si>
  <si>
    <t>Isoform 4 of Pro-interleukin-16</t>
  </si>
  <si>
    <t>Isoform 2 of Cytoskeleton-associated protein 5</t>
  </si>
  <si>
    <t>Coactosin-like protein</t>
  </si>
  <si>
    <t>Collagen alpha-2(IX) chain</t>
  </si>
  <si>
    <t>Isoform 2 of Nidogen-2</t>
  </si>
  <si>
    <t>Dystroglycan</t>
  </si>
  <si>
    <t>Desmoglein-2</t>
  </si>
  <si>
    <t>Dihydropyrimidinase-related protein 3</t>
  </si>
  <si>
    <t>Eukaryotic initiation factor 4A-II</t>
  </si>
  <si>
    <t>Isoform 3 of Src substrate cortactin</t>
  </si>
  <si>
    <t>Fibroleukin</t>
  </si>
  <si>
    <t>Isoform 3 of Growth arrest-specific protein 6</t>
  </si>
  <si>
    <t>Epididymal secretory protein E3-alpha</t>
  </si>
  <si>
    <t>WAP four-disulfide core domain protein 2</t>
  </si>
  <si>
    <t>Isoform 2 of SPARC-like protein 1</t>
  </si>
  <si>
    <t>Isoform 3B of Desmocollin-3</t>
  </si>
  <si>
    <t>Isoform 4 of Inter-alpha-trypsin inhibitor heavy chain H4</t>
  </si>
  <si>
    <t>Isoform 3 of Disco-interacting protein 2 homolog A</t>
  </si>
  <si>
    <t>Neutral alpha-glucosidase AB</t>
  </si>
  <si>
    <t>Isoform Short of Latent-transforming growth factor beta-binding protein 1</t>
  </si>
  <si>
    <t>LIM and SH3 domain protein 1</t>
  </si>
  <si>
    <t>Isoform 2 of Prostaglandin reductase 1</t>
  </si>
  <si>
    <t>Importin subunit beta-1</t>
  </si>
  <si>
    <t>26S proteasome non-ATPase regulatory subunit 6</t>
  </si>
  <si>
    <t>Isoform Short of Eukaryotic translation initiation factor 4H</t>
  </si>
  <si>
    <t>Early endosome antigen 1</t>
  </si>
  <si>
    <t>Isoform 3 of Protein disulfide-isomerase A6</t>
  </si>
  <si>
    <t>Procollagen C-endopeptidase enhancer 1</t>
  </si>
  <si>
    <t>Astrocytic phosphoprotein PEA-15</t>
  </si>
  <si>
    <t>Isoform 7 of Plectin</t>
  </si>
  <si>
    <t>Serum paraoxonase/lactonase 3</t>
  </si>
  <si>
    <t>Isoform 3 of Prostaglandin E synthase 3</t>
  </si>
  <si>
    <t>Isoform Gamma of Nectin-1</t>
  </si>
  <si>
    <t>Isoform 4 of Serine/threonine-protein phosphatase 2A activator</t>
  </si>
  <si>
    <t>Reticulocalbin-1</t>
  </si>
  <si>
    <t>RalA-binding protein 1</t>
  </si>
  <si>
    <t>Poly(rC)-binding protein 1</t>
  </si>
  <si>
    <t>Isoform 2 of Angiopoietin-1</t>
  </si>
  <si>
    <t>Isoform 2 of Ras suppressor protein 1</t>
  </si>
  <si>
    <t>Corneodesmosin</t>
  </si>
  <si>
    <t>Translin</t>
  </si>
  <si>
    <t>Microtubule-associated protein RP/EB family member 1</t>
  </si>
  <si>
    <t>Ubiquitin-conjugating enzyme E2 variant 2</t>
  </si>
  <si>
    <t>Cystatin-M</t>
  </si>
  <si>
    <t>NEDD8</t>
  </si>
  <si>
    <t>Adipogenesis regulatory factor</t>
  </si>
  <si>
    <t>V-type proton ATPase subunit S1</t>
  </si>
  <si>
    <t>Coiled-coil domain-containing protein 6</t>
  </si>
  <si>
    <t>Isoform 2 of Insulin-like growth factor-binding protein 7</t>
  </si>
  <si>
    <t>Proline-rich protein 4</t>
  </si>
  <si>
    <t>DNA damage-binding protein 1</t>
  </si>
  <si>
    <t>Hsp90 co-chaperone Cdc37</t>
  </si>
  <si>
    <t>Cocaine- and amphetamine-regulated transcript protein</t>
  </si>
  <si>
    <t>Extracellular matrix protein 1</t>
  </si>
  <si>
    <t>Prostasin</t>
  </si>
  <si>
    <t>Alpha-mannosidase 2</t>
  </si>
  <si>
    <t>Isoform 2 of Glutaminyl-peptide cyclotransferase</t>
  </si>
  <si>
    <t>Isoform 2 of UTP--glucose-1-phosphate uridylyltransferase</t>
  </si>
  <si>
    <t>Isoform 7 of Thioredoxin reductase 1, cytoplasmic</t>
  </si>
  <si>
    <t>Isoform 4 of Tumor protein D53</t>
  </si>
  <si>
    <t>Serine protease inhibitor Kazal-type 13</t>
  </si>
  <si>
    <t>Transmembrane protein 132A</t>
  </si>
  <si>
    <t>HLA class I histocompatibility antigen, Cw-6 alpha chain</t>
  </si>
  <si>
    <t>Isoform 2 of Kinesin-like protein KIF26B</t>
  </si>
  <si>
    <t>Isoform 2 of AP2-associated protein kinase 1</t>
  </si>
  <si>
    <t>Rab-like protein 6</t>
  </si>
  <si>
    <t>Isoform 2 of Alpha-(1,3)-fucosyltransferase 11</t>
  </si>
  <si>
    <t>Quinone oxidoreductase PIG3</t>
  </si>
  <si>
    <t>Isoform 4 of Phospholipase A1 member A</t>
  </si>
  <si>
    <t>Isoform 4 of Fibulin-7</t>
  </si>
  <si>
    <t>HCLS1-binding protein 3</t>
  </si>
  <si>
    <t>Isoform 2 of Protein sidekick-2</t>
  </si>
  <si>
    <t>Isoform 3 of von Willebrand factor A domain-containing protein 2</t>
  </si>
  <si>
    <t>Tripeptidyl-peptidase 1</t>
  </si>
  <si>
    <t>Amyloid beta A4 protein</t>
  </si>
  <si>
    <t>Isoform 3 of Nodal modulator 2</t>
  </si>
  <si>
    <t>Isoform 2 of Melanoma inhibitory activity protein 3</t>
  </si>
  <si>
    <t>Isoform 2 of NHL repeat-containing protein 3</t>
  </si>
  <si>
    <t>Collectin-12</t>
  </si>
  <si>
    <t>Isoform 2 of Phytanoyl-CoA dioxygenase domain-containing protein 1</t>
  </si>
  <si>
    <t>Keratinocyte proline-rich protein</t>
  </si>
  <si>
    <t>Protein DDI1 homolog 2</t>
  </si>
  <si>
    <t>Isoform 2 of Rootletin</t>
  </si>
  <si>
    <t>Putative elongation factor 1-alpha-like 3</t>
  </si>
  <si>
    <t>Isoform 2 of CD276 antigen</t>
  </si>
  <si>
    <t>Centrosomal protein of 135 kDa</t>
  </si>
  <si>
    <t>Isoform 2 of Carboxypeptidase Z</t>
  </si>
  <si>
    <t>Natural cytotoxicity triggering receptor 3 ligand 1</t>
  </si>
  <si>
    <t>Ankyrin repeat domain-containing protein 40</t>
  </si>
  <si>
    <t>Isoform 2 of IQ motif and SEC7 domain-containing protein 1</t>
  </si>
  <si>
    <t>Vasorin</t>
  </si>
  <si>
    <t>Isoform 3 of Ral GTPase-activating protein subunit alpha-1</t>
  </si>
  <si>
    <t>Isoform 4 of IQ domain-containing protein E</t>
  </si>
  <si>
    <t>Isoform 2 of Tectonic-3</t>
  </si>
  <si>
    <t>RGM domain family member B</t>
  </si>
  <si>
    <t>Histone H3.3C</t>
  </si>
  <si>
    <t>Isoform 2 of Protein CASC4</t>
  </si>
  <si>
    <t>Isoform 2 of Gamma-glutamyltransferase 6</t>
  </si>
  <si>
    <t>Protein LEG1 homolog</t>
  </si>
  <si>
    <t>von Willebrand factor A domain-containing protein 1</t>
  </si>
  <si>
    <t>Isoform 4 of Protein CASC1</t>
  </si>
  <si>
    <t>Isoform 5 of Aftiphilin</t>
  </si>
  <si>
    <t>Suprabasin</t>
  </si>
  <si>
    <t>Lipocalin-15</t>
  </si>
  <si>
    <t>Olfactomedin-4</t>
  </si>
  <si>
    <t>Isoform 2 of Plexin domain-containing protein 2</t>
  </si>
  <si>
    <t>Isoform 6 of Seizure 6-like protein 2</t>
  </si>
  <si>
    <t>Nephronectin</t>
  </si>
  <si>
    <t>Leucine-rich repeat neuronal protein 1</t>
  </si>
  <si>
    <t>Isoform 2 of Brain-specific angiogenesis inhibitor 1-associated protein 2-like protein 2</t>
  </si>
  <si>
    <t>Prostate and testis expressed protein 2</t>
  </si>
  <si>
    <t>Mucin-6</t>
  </si>
  <si>
    <t>Chordin-like protein 2</t>
  </si>
  <si>
    <t>Nicotinate phosphoribosyltransferase</t>
  </si>
  <si>
    <t>Isoform 3 of GRB10-interacting GYF protein 2</t>
  </si>
  <si>
    <t>CD109 antigen</t>
  </si>
  <si>
    <t>Thrombospondin type-1 domain-containing protein 4</t>
  </si>
  <si>
    <t>Protein MMS22-like</t>
  </si>
  <si>
    <t>Uncharacterized protein FLJ45252</t>
  </si>
  <si>
    <t>Major facilitator superfamily domain-containing protein 6</t>
  </si>
  <si>
    <t>Isoform 4 of TOM1-like protein 2</t>
  </si>
  <si>
    <t>Isoform 2 of Tubulin alpha-1A chain</t>
  </si>
  <si>
    <t>Isoform 2 of Basic leucine zipper and W2 domain-containing protein 1</t>
  </si>
  <si>
    <t>Isoaspartyl peptidase/L-asparaginase</t>
  </si>
  <si>
    <t>Hsp90 co-chaperone Cdc37-like 1</t>
  </si>
  <si>
    <t>COP9 signalosome complex subunit 6</t>
  </si>
  <si>
    <t>Rab11 family-interacting protein 2</t>
  </si>
  <si>
    <t>MAM domain-containing protein 2</t>
  </si>
  <si>
    <t>Isoform 2 of HD domain-containing protein 2</t>
  </si>
  <si>
    <t>L-xylulose reductase</t>
  </si>
  <si>
    <t>Isoform 3 of Transmembrane emp24 domain-containing protein 4</t>
  </si>
  <si>
    <t>Isoform 2 of Multiple epidermal growth factor-like domains protein 8</t>
  </si>
  <si>
    <t>Regulatory protein E2</t>
  </si>
  <si>
    <t>Non-structural protein 1</t>
  </si>
  <si>
    <t>Isoform 2 of Adhesion G-protein coupled receptor G6</t>
  </si>
  <si>
    <t>ADAMTS-like protein 2</t>
  </si>
  <si>
    <t>Out at first protein homolog</t>
  </si>
  <si>
    <t>Reticulon-4 receptor-like 1</t>
  </si>
  <si>
    <t>Isoform 2 of Kinectin</t>
  </si>
  <si>
    <t>Integral membrane protein GPR180</t>
  </si>
  <si>
    <t>V-set and immunoglobulin domain-containing protein 10-like</t>
  </si>
  <si>
    <t>Testis-specific Y-encoded-like protein 5</t>
  </si>
  <si>
    <t>Low-density lipoprotein receptor-related protein 11</t>
  </si>
  <si>
    <t>Isoform 6 of Lipolysis-stimulated lipoprotein receptor</t>
  </si>
  <si>
    <t>Isoform 2 of TIR domain-containing adapter molecule 2</t>
  </si>
  <si>
    <t>Xylosyltransferase 1</t>
  </si>
  <si>
    <t>Syntaxin-12</t>
  </si>
  <si>
    <t>Phospholipase D3</t>
  </si>
  <si>
    <t>Somatomedin-B and thrombospondin type-1 domain-containing protein</t>
  </si>
  <si>
    <t>Serpin A12</t>
  </si>
  <si>
    <t>Isoform 3 of Stromal membrane-associated protein 1</t>
  </si>
  <si>
    <t>Synaptotagmin-like protein 1</t>
  </si>
  <si>
    <t>Isoform 2 of Dyslexia-associated protein KIAA0319-like protein</t>
  </si>
  <si>
    <t>Isoform 2 of C3 and PZP-like alpha-2-macroglobulin domain-containing protein 8</t>
  </si>
  <si>
    <t>Isoform 10 of Adhesion G-protein coupled receptor G2</t>
  </si>
  <si>
    <t>Spartin</t>
  </si>
  <si>
    <t>Isoform 2 of Protein shisa-5</t>
  </si>
  <si>
    <t>Isoform 5 of Rho GTPase-activating protein 24</t>
  </si>
  <si>
    <t>Isoform 2 of Latent-transforming growth factor beta-binding protein 4</t>
  </si>
  <si>
    <t>Glycerol-3-phosphate dehydrogenase 1-like protein</t>
  </si>
  <si>
    <t>Transmembrane protein 132C</t>
  </si>
  <si>
    <t>Secreted frizzled-related protein 1</t>
  </si>
  <si>
    <t>BPI fold-containing family B member 2</t>
  </si>
  <si>
    <t>Synaptic vesicle 2-related protein</t>
  </si>
  <si>
    <t>Isoform 2 of Actin filament-associated protein 1-like 2</t>
  </si>
  <si>
    <t>ADAMTS-like protein 1</t>
  </si>
  <si>
    <t>CD177 antigen</t>
  </si>
  <si>
    <t>Isoform 2 of Golgi membrane protein 1</t>
  </si>
  <si>
    <t>Protein O-glucosyltransferase 1</t>
  </si>
  <si>
    <t>Isoform 2 of Thioredoxin domain-containing protein 5</t>
  </si>
  <si>
    <t>Group XV phospholipase A2</t>
  </si>
  <si>
    <t>Carbohydrate sulfotransferase 14</t>
  </si>
  <si>
    <t>Polypeptide N-acetylgalactosaminyltransferase 6</t>
  </si>
  <si>
    <t>Delta and Notch-like epidermal growth factor-related receptor</t>
  </si>
  <si>
    <t>Cell adhesion molecule 4</t>
  </si>
  <si>
    <t>Isoform 2 of Putative phospholipase B-like 2</t>
  </si>
  <si>
    <t>T-cell immunomodulatory protein</t>
  </si>
  <si>
    <t>Isoform 2 of Phosphatidylinositol 5-phosphate 4-kinase type-2 gamma</t>
  </si>
  <si>
    <t>Serine/threonine-protein kinase Nek9</t>
  </si>
  <si>
    <t>A disintegrin and metalloproteinase with thrombospondin motifs 17</t>
  </si>
  <si>
    <t>Isoform 4 of Epidermal growth factor receptor kinase substrate 8-like protein 1</t>
  </si>
  <si>
    <t>Dynein heavy chain 5, axonemal</t>
  </si>
  <si>
    <t>Isoform 2 of ATP-dependent RNA helicase DQX1</t>
  </si>
  <si>
    <t>D-tyrosyl-tRNA(Tyr) deacylase 1</t>
  </si>
  <si>
    <t>Isoform 4 of Actin filament-associated protein 1-like 1</t>
  </si>
  <si>
    <t>Isoform 4 of Sushi, nidogen and EGF-like domain-containing protein 1</t>
  </si>
  <si>
    <t>Protein Shroom3</t>
  </si>
  <si>
    <t>WAS/WASL-interacting protein family member 2</t>
  </si>
  <si>
    <t>Isoform 2 of Ras-related protein Rab-2B</t>
  </si>
  <si>
    <t>Programmed cell death 6-interacting protein</t>
  </si>
  <si>
    <t>Protein BRICK1</t>
  </si>
  <si>
    <t>Isoform 3 of Soluble calcium-activated nucleotidase 1</t>
  </si>
  <si>
    <t>Selenoprotein M</t>
  </si>
  <si>
    <t>WAP four-disulfide core domain protein 12</t>
  </si>
  <si>
    <t>Insulin-like growth factor-binding protein-like 1</t>
  </si>
  <si>
    <t>Prostate and testis expressed protein 1</t>
  </si>
  <si>
    <t>Isoform 7 of Nesprin-2</t>
  </si>
  <si>
    <t>Isoform 6 of Titin</t>
  </si>
  <si>
    <t>Protein LZIC</t>
  </si>
  <si>
    <t>Immunity-related GTPase family Q protein</t>
  </si>
  <si>
    <t>Isoform 2 of Acid sphingomyelinase-like phosphodiesterase 3a</t>
  </si>
  <si>
    <t>Isoform 2 of Acid sphingomyelinase-like phosphodiesterase 3b</t>
  </si>
  <si>
    <t>Protein FAM3C</t>
  </si>
  <si>
    <t>Isoform 2 of Nicastrin</t>
  </si>
  <si>
    <t>28S ribosomal protein S27, mitochondrial</t>
  </si>
  <si>
    <t>Isoform 3 of Protein NDRG1</t>
  </si>
  <si>
    <t>Isoform Beta of Heat shock protein 105 kDa</t>
  </si>
  <si>
    <t>Isoform 2 of Peroxidasin homolog</t>
  </si>
  <si>
    <t>Sortilin-related receptor</t>
  </si>
  <si>
    <t>Isoform Alpha of Nectin-2</t>
  </si>
  <si>
    <t>Isoform 3 of Receptor-type tyrosine-protein phosphatase U</t>
  </si>
  <si>
    <t>Serine protease HTRA1</t>
  </si>
  <si>
    <t>Isoform 2 of CREB-binding protein</t>
  </si>
  <si>
    <t>Isoform 3 of Neuronal cell adhesion molecule</t>
  </si>
  <si>
    <t>Isoform 2 of Protein kinase C-binding protein NELL1</t>
  </si>
  <si>
    <t>Isoform 8 of Ectodysplasin-A</t>
  </si>
  <si>
    <t>Isoform 3 of Neogenin</t>
  </si>
  <si>
    <t>Golgi apparatus protein 1</t>
  </si>
  <si>
    <t>Tumor necrosis factor receptor superfamily member 14</t>
  </si>
  <si>
    <t>Isoform 2 of Ubiquitin carboxyl-terminal hydrolase 13</t>
  </si>
  <si>
    <t>Lipoma-preferred partner</t>
  </si>
  <si>
    <t>Homogentisate 1,2-dioxygenase</t>
  </si>
  <si>
    <t>Myeloid-derived growth factor</t>
  </si>
  <si>
    <t>Isoform 2 of Tetratricopeptide repeat protein 17</t>
  </si>
  <si>
    <t>Isoform 2 of Pre-B-cell leukemia transcription factor-interacting protein 1</t>
  </si>
  <si>
    <t>Isoform 4 of Ribulose-phosphate 3-epimerase</t>
  </si>
  <si>
    <t>Isoform 2 of Cyclic AMP-responsive element-binding protein 3-like protein 1</t>
  </si>
  <si>
    <t>Protein FAM3D</t>
  </si>
  <si>
    <t>EF-hand domain-containing protein D2</t>
  </si>
  <si>
    <t>Isochorismatase domain-containing protein 1</t>
  </si>
  <si>
    <t>Coiled-coil domain-containing protein 124</t>
  </si>
  <si>
    <t>Zymogen granule protein 16 homolog B</t>
  </si>
  <si>
    <t>Protein shisa-4</t>
  </si>
  <si>
    <t>BPI fold-containing family A member 2</t>
  </si>
  <si>
    <t>Mucin-like protein 1</t>
  </si>
  <si>
    <t>Isoform 2 of Endoplasmic reticulum lectin 1</t>
  </si>
  <si>
    <t>Glucosamine 6-phosphate N-acetyltransferase</t>
  </si>
  <si>
    <t>C1GALT1-specific chaperone 1</t>
  </si>
  <si>
    <t>Isoform 4 of Phosphoinositide-3-kinase-interacting protein 1</t>
  </si>
  <si>
    <t>Isoform 2 of Brevican core protein</t>
  </si>
  <si>
    <t>PDZ and LIM domain protein 5</t>
  </si>
  <si>
    <t>Cysteine-rich with EGF-like domain protein 1</t>
  </si>
  <si>
    <t>Isoform 2 of Leucine-rich repeats and immunoglobulin-like domains protein 1</t>
  </si>
  <si>
    <t>Lysyl oxidase homolog 4</t>
  </si>
  <si>
    <t>Isoform 4 of Ubiquitin carboxyl-terminal hydrolase 47</t>
  </si>
  <si>
    <t>Isoform 2 of Multiple epidermal growth factor-like domains protein 10</t>
  </si>
  <si>
    <t>Cytosolic non-specific dipeptidase</t>
  </si>
  <si>
    <t>Isoform 2 of Leishmanolysin-like peptidase</t>
  </si>
  <si>
    <t>Isoform 4 of Protein PRRC1</t>
  </si>
  <si>
    <t>V-set and transmembrane domain-containing protein 2-like protein</t>
  </si>
  <si>
    <t>Nectin-4</t>
  </si>
  <si>
    <t>Discoidin, CUB and LCCL domain-containing protein 2</t>
  </si>
  <si>
    <t>Phosphatidylethanolamine-binding protein 4</t>
  </si>
  <si>
    <t>Isoform 2 of Niban-like protein 1</t>
  </si>
  <si>
    <t>Isoform 2 of 26S proteasome non-ATPase regulatory subunit 1</t>
  </si>
  <si>
    <t>Protein DJ-1</t>
  </si>
  <si>
    <t>Sialidase-1</t>
  </si>
  <si>
    <t>Sortilin</t>
  </si>
  <si>
    <t>Synaptic vesicle membrane protein VAT-1 homolog</t>
  </si>
  <si>
    <t>Legumain</t>
  </si>
  <si>
    <t>Neuroserpin</t>
  </si>
  <si>
    <t>Isoform 2 of Eukaryotic translation initiation factor 3 subunit C</t>
  </si>
  <si>
    <t>Cell growth regulator with EF hand domain protein 1</t>
  </si>
  <si>
    <t>Isoform 4 of Collagen alpha-1(XII) chain</t>
  </si>
  <si>
    <t>Metalloproteinase inhibitor 4</t>
  </si>
  <si>
    <t>Nucleosome assembly protein 1-like 4</t>
  </si>
  <si>
    <t>Isoform 5 of Noelin</t>
  </si>
  <si>
    <t>Isoform 3 of T-complex protein 1 subunit eta</t>
  </si>
  <si>
    <t>Histone H2B type 1-L</t>
  </si>
  <si>
    <t>Isoform 3 of Endophilin-A2</t>
  </si>
  <si>
    <t>Retinoic acid receptor responder protein 2</t>
  </si>
  <si>
    <t>Semaphorin-3C</t>
  </si>
  <si>
    <t>Growth/differentiation factor 15</t>
  </si>
  <si>
    <t>Actin-related protein 2/3 complex subunit 5-like protein</t>
  </si>
  <si>
    <t>Isoform 7 of Testican-3</t>
  </si>
  <si>
    <t>Isoform 8 of Testican-3</t>
  </si>
  <si>
    <t>Isoform 3 of Allograft inflammatory factor 1-like</t>
  </si>
  <si>
    <t>Serine protease 27</t>
  </si>
  <si>
    <t>Calsyntenin-3</t>
  </si>
  <si>
    <t>Coronin-1B</t>
  </si>
  <si>
    <t>Thioredoxin domain-containing protein 17</t>
  </si>
  <si>
    <t>Zinc finger protein 251</t>
  </si>
  <si>
    <t>Isoform 6 of 45 kDa calcium-binding protein</t>
  </si>
  <si>
    <t>Isoform 2 of Partner of Y14 and mago</t>
  </si>
  <si>
    <t>Isoform 5 of ADP-dependent glucokinase</t>
  </si>
  <si>
    <t>Suppressor of IKBKE 1</t>
  </si>
  <si>
    <t>Endoplasmic reticulum resident protein 44</t>
  </si>
  <si>
    <t>Latexin</t>
  </si>
  <si>
    <t>Protease-associated domain-containing protein 1</t>
  </si>
  <si>
    <t>Isoform 2 of Zinc finger protein 577</t>
  </si>
  <si>
    <t>Isoform 2 of Plasma alpha-L-fucosidase</t>
  </si>
  <si>
    <t>Spondin-2</t>
  </si>
  <si>
    <t>EF-hand domain-containing protein D1</t>
  </si>
  <si>
    <t>Probable ATP-dependent RNA helicase DDX23</t>
  </si>
  <si>
    <t>Isoform 3 of 3-hydroxybutyrate dehydrogenase type 2</t>
  </si>
  <si>
    <t>1,2-dihydroxy-3-keto-5-methylthiopentene dioxygenase</t>
  </si>
  <si>
    <t>Protein PBDC1</t>
  </si>
  <si>
    <t>Specifically androgen-regulated gene protein</t>
  </si>
  <si>
    <t>Isoform 2 of ADP-ribose pyrophosphatase, mitochondrial</t>
  </si>
  <si>
    <t>Acetyl-CoA acetyltransferase, cytosolic</t>
  </si>
  <si>
    <t>Isoform 3 of Chitinase domain-containing protein 1</t>
  </si>
  <si>
    <t>EKC/KEOPS complex subunit GON7</t>
  </si>
  <si>
    <t>Charged multivesicular body protein 4a</t>
  </si>
  <si>
    <t>Isoform 2 of Cell adhesion molecule 1</t>
  </si>
  <si>
    <t>Regenerating islet-derived protein 4</t>
  </si>
  <si>
    <t>Reticulon-4 receptor</t>
  </si>
  <si>
    <t>Protein dpy-30 homolog</t>
  </si>
  <si>
    <t>182 kDa tankyrase-1-binding protein</t>
  </si>
  <si>
    <t>Isoform 3 of Tubulointerstitial nephritis antigen-like</t>
  </si>
  <si>
    <t>Brain-specific serine protease 4</t>
  </si>
  <si>
    <t>Isoform 2 of Platelet-derived growth factor D</t>
  </si>
  <si>
    <t>Twisted gastrulation protein homolog 1</t>
  </si>
  <si>
    <t>Extracellular glycoprotein lacritin</t>
  </si>
  <si>
    <t>Phospholysine phosphohistidine inorganic pyrophosphate phosphatase</t>
  </si>
  <si>
    <t>Isoform 3 of Polyadenylate-binding protein-interacting protein 1</t>
  </si>
  <si>
    <t>Protein FAM107B</t>
  </si>
  <si>
    <t>Cysteine-rich secretory protein LCCL domain-containing 2</t>
  </si>
  <si>
    <t>Toll-interacting protein</t>
  </si>
  <si>
    <t>Isoform 3 of Ester hydrolase C11orf54</t>
  </si>
  <si>
    <t>Nucleotide exchange factor SIL1</t>
  </si>
  <si>
    <t>Isoform 2 of Xylosyltransferase 2</t>
  </si>
  <si>
    <t>Ribonuclease 7</t>
  </si>
  <si>
    <t>Isoform 3 of Activating signal cointegrator 1 complex subunit 2</t>
  </si>
  <si>
    <t>Multiple epidermal growth factor-like domains protein 9</t>
  </si>
  <si>
    <t>SH3 domain-binding glutamic acid-rich-like protein 3</t>
  </si>
  <si>
    <t>Cysteine-rich secretory protein LCCL domain-containing 1</t>
  </si>
  <si>
    <t>Semaphorin-4A</t>
  </si>
  <si>
    <t>Charged multivesicular body protein 4b</t>
  </si>
  <si>
    <t>Frizzled-8</t>
  </si>
  <si>
    <t>Aminopeptidase B</t>
  </si>
  <si>
    <t>Calsyntenin-2</t>
  </si>
  <si>
    <t>Isoform 2 of Rab GTPase-binding effector protein 2</t>
  </si>
  <si>
    <t>Isoform 3 of CUB domain-containing protein 1</t>
  </si>
  <si>
    <t>CXADR-like membrane protein</t>
  </si>
  <si>
    <t>UPF0454 protein C12orf49</t>
  </si>
  <si>
    <t>MANSC domain-containing protein 1</t>
  </si>
  <si>
    <t>Isoform 2 of Ubiquitin carboxyl-terminal hydrolase MINDY-3</t>
  </si>
  <si>
    <t>Jupiter microtubule associated homolog 2</t>
  </si>
  <si>
    <t>Isoform 2 of Sialate O-acetylesterase</t>
  </si>
  <si>
    <t>Retinoid-inducible serine carboxypeptidase</t>
  </si>
  <si>
    <t>Isoform 3 of Netrin-4</t>
  </si>
  <si>
    <t>Isoform 3 of Calcyclin-binding protein</t>
  </si>
  <si>
    <t>Putative sodium-coupled neutral amino acid transporter 10</t>
  </si>
  <si>
    <t>Isoform 2 of Glyoxalase domain-containing protein 4</t>
  </si>
  <si>
    <t>Mucin-5B</t>
  </si>
  <si>
    <t>Isoform 2 of Ectopic P granules protein 5 homolog</t>
  </si>
  <si>
    <t>Cadherin EGF LAG seven-pass G-type receptor 2</t>
  </si>
  <si>
    <t>Resistin</t>
  </si>
  <si>
    <t>Isoform 3b of Neurexin-3-beta</t>
  </si>
  <si>
    <t>Isoform 2 of ADP-ribosylation factor GTPase-activating protein 3</t>
  </si>
  <si>
    <t>Isoform 2 of Vacuolar protein sorting-associated protein VTA1 homolog</t>
  </si>
  <si>
    <t>Dynein light chain roadblock-type 1</t>
  </si>
  <si>
    <t>Lactosylceramide 4-alpha-galactosyltransferase</t>
  </si>
  <si>
    <t>Isoform 2 of CD320 antigen</t>
  </si>
  <si>
    <t>Isoform 2 of Carbohydrate sulfotransferase 11</t>
  </si>
  <si>
    <t>Lysophosphatidic acid phosphatase type 6</t>
  </si>
  <si>
    <t>Isoform 3 of Interleukin-1 receptor accessory protein</t>
  </si>
  <si>
    <t>Isoform 2 of Semaphorin-4B</t>
  </si>
  <si>
    <t>Isoform 3 of Signal peptide, CUB and EGF-like domain-containing protein 2</t>
  </si>
  <si>
    <t>Isoform short of Serine protease inhibitor Kazal-type 5</t>
  </si>
  <si>
    <t>Isoform 2 of Cartilage acidic protein 1</t>
  </si>
  <si>
    <t>Prefoldin subunit 4</t>
  </si>
  <si>
    <t>Omega-amidase NIT2</t>
  </si>
  <si>
    <t>Isoform 2 of Kinesin-like protein KIF13B</t>
  </si>
  <si>
    <t>Isoform 2 of Xaa-Pro aminopeptidase 1</t>
  </si>
  <si>
    <t>Gephyrin</t>
  </si>
  <si>
    <t>Neural proliferation differentiation and control protein 1</t>
  </si>
  <si>
    <t>Mannosyl-oligosaccharide 1,2-alpha-mannosidase IC</t>
  </si>
  <si>
    <t>Sialic acid synthase</t>
  </si>
  <si>
    <t>Matrix-remodeling-associated protein 5</t>
  </si>
  <si>
    <t>Isoform 4 of Platelet-derived growth factor C</t>
  </si>
  <si>
    <t>Heme-binding protein 1</t>
  </si>
  <si>
    <t>Rho GTPase-activating protein 35</t>
  </si>
  <si>
    <t>Latent-transforming growth factor beta-binding protein 3</t>
  </si>
  <si>
    <t>Isoform 2 of Tumor necrosis factor receptor superfamily member 19</t>
  </si>
  <si>
    <t>Isoform 2 of Sister chromatid cohesion protein PDS5 homolog B</t>
  </si>
  <si>
    <t>Glycoprotein integral membrane protein 1</t>
  </si>
  <si>
    <t>Dipeptidyl peptidase 3</t>
  </si>
  <si>
    <t>Tropomodulin-3</t>
  </si>
  <si>
    <t>Zinc finger protein 226</t>
  </si>
  <si>
    <t>Endoplasmic reticulum aminopeptidase 1</t>
  </si>
  <si>
    <t>Group 3 secretory phospholipase A2</t>
  </si>
  <si>
    <t>Podocalyxin-like protein 2</t>
  </si>
  <si>
    <t>Eukaryotic translation initiation factor 2-alpha kinase 3</t>
  </si>
  <si>
    <t>Isoform 4 of Myoferlin</t>
  </si>
  <si>
    <t>Isoform 4 of Intersectin-2</t>
  </si>
  <si>
    <t>Complement C1r subcomponent-like protein</t>
  </si>
  <si>
    <t>Cysteine-rich motor neuron 1 protein</t>
  </si>
  <si>
    <t>Charged multivesicular body protein 5</t>
  </si>
  <si>
    <t>Ankycorbin</t>
  </si>
  <si>
    <t>Vesicle-associated membrane protein-associated protein A</t>
  </si>
  <si>
    <t>Cytochrome c oxidase assembly protein COX16 homolog, mitochondrial</t>
  </si>
  <si>
    <t>Contactin-3</t>
  </si>
  <si>
    <t>Disco-interacting protein 2 homolog B</t>
  </si>
  <si>
    <t>Isoform 1 of Ribosome-binding protein 1</t>
  </si>
  <si>
    <t>Isoform 3 of GMP reductase 2</t>
  </si>
  <si>
    <t>Small proline-rich protein 3</t>
  </si>
  <si>
    <t>Dickkopf-related protein 3</t>
  </si>
  <si>
    <t>Cathepsin Z</t>
  </si>
  <si>
    <t>DnaJ homolog subfamily B member 9</t>
  </si>
  <si>
    <t>Peflin</t>
  </si>
  <si>
    <t>COP9 signalosome complex subunit 7a</t>
  </si>
  <si>
    <t>Cathepsin F</t>
  </si>
  <si>
    <t>Fibulin-5</t>
  </si>
  <si>
    <t>Isoform 1 of Kallikrein-11</t>
  </si>
  <si>
    <t>Protein phosphatase 1 regulatory subunit 1B</t>
  </si>
  <si>
    <t>Isoform 6 of Tight junction protein ZO-2</t>
  </si>
  <si>
    <t>Isoform 4 of Dynein heavy chain 17, axonemal</t>
  </si>
  <si>
    <t>Isoform 9 of Deleted in malignant brain tumors 1 protein</t>
  </si>
  <si>
    <t>Isoform 2 of Fetuin-B</t>
  </si>
  <si>
    <t>Isoform 3 of Protein NDRG3</t>
  </si>
  <si>
    <t>Contactin-associated protein-like 2</t>
  </si>
  <si>
    <t>ProSAAS</t>
  </si>
  <si>
    <t>A disintegrin and metalloproteinase with thrombospondin motifs 1</t>
  </si>
  <si>
    <t>Dipeptidyl peptidase 2</t>
  </si>
  <si>
    <t>Transcription elongation factor A protein-like 9</t>
  </si>
  <si>
    <t>Prefoldin subunit 2</t>
  </si>
  <si>
    <t>Enolase-phosphatase E1</t>
  </si>
  <si>
    <t>Isoform 2 of V-type proton ATPase subunit H</t>
  </si>
  <si>
    <t>SH3 domain-binding glutamic acid-rich-like protein 2</t>
  </si>
  <si>
    <t>Meteorin</t>
  </si>
  <si>
    <t>N-acetylglucosamine-1-phosphotransferase subunit gamma</t>
  </si>
  <si>
    <t>ADP-sugar pyrophosphatase</t>
  </si>
  <si>
    <t>Ras-related protein Rab-21</t>
  </si>
  <si>
    <t>Proteasome activator complex subunit 2</t>
  </si>
  <si>
    <t>Protein FAM184B</t>
  </si>
  <si>
    <t>Isoform 4 of MKL/myocardin-like protein 2</t>
  </si>
  <si>
    <t>Plexin-B3</t>
  </si>
  <si>
    <t>Isoform 2 of Mammalian ependymin-related protein 1</t>
  </si>
  <si>
    <t>Isoform 5 of Unconventional myosin-VI</t>
  </si>
  <si>
    <t>Isoform 3 of Ubiquilin-1</t>
  </si>
  <si>
    <t>Neudesin</t>
  </si>
  <si>
    <t>Isoform 2 of Protein NDRG2</t>
  </si>
  <si>
    <t>Isoform B of Ras GTPase-activating protein-binding protein 2</t>
  </si>
  <si>
    <t>Multiple inositol polyphosphate phosphatase 1</t>
  </si>
  <si>
    <t>60S ribosomal protein L26-like 1</t>
  </si>
  <si>
    <t>NSFL1 cofactor p47</t>
  </si>
  <si>
    <t>Isoform 2 of Leucine-rich repeat protein SHOC-2</t>
  </si>
  <si>
    <t>Isoform 2 of Proliferation-associated protein 2G4</t>
  </si>
  <si>
    <t>Isoform 3 of Brain-specific angiogenesis inhibitor 1-associated protein 2</t>
  </si>
  <si>
    <t>Isoform 2 of RuvB-like 1</t>
  </si>
  <si>
    <t>Nuclear migration protein nudC</t>
  </si>
  <si>
    <t>Developmentally-regulated GTP-binding protein 1</t>
  </si>
  <si>
    <t>N-acetyllactosaminide beta-1,3-N-acetylglucosaminyltransferase 3</t>
  </si>
  <si>
    <t>Isoform 2 of Epididymis-specific alpha-mannosidase</t>
  </si>
  <si>
    <t>Isoform 2 of Lambda-crystallin homolog</t>
  </si>
  <si>
    <t>Calcium-binding protein 39</t>
  </si>
  <si>
    <t>Isoform 2 of Oligoribonuclease, mitochondrial</t>
  </si>
  <si>
    <t>Talin-1</t>
  </si>
  <si>
    <t>Hypoxia up-regulated protein 1</t>
  </si>
  <si>
    <t>CD2-associated protein</t>
  </si>
  <si>
    <t>Sorting nexin-5</t>
  </si>
  <si>
    <t>Endothelial lipase</t>
  </si>
  <si>
    <t>Suppressor of tumorigenicity 14 protein</t>
  </si>
  <si>
    <t>Isoform 2 of Heme-binding protein 2</t>
  </si>
  <si>
    <t>Isoform 2 of Leucine-rich repeat flightless-interacting protein 2</t>
  </si>
  <si>
    <t>Junctional adhesion molecule A</t>
  </si>
  <si>
    <t>Carboxypeptidase Q</t>
  </si>
  <si>
    <t>Isoform 2 of Adhesion G-protein coupled receptor G1</t>
  </si>
  <si>
    <t>Chloride intracellular channel protein 4</t>
  </si>
  <si>
    <t>Cytoplasmic dynein 1 light intermediate chain 1</t>
  </si>
  <si>
    <t>Isoform 3 of Epsin-1</t>
  </si>
  <si>
    <t>Isoform 3 of NF-kappa-B essential modulator</t>
  </si>
  <si>
    <t>IgGFc-binding protein</t>
  </si>
  <si>
    <t>Isoform 3 of Adseverin</t>
  </si>
  <si>
    <t>Wiskott-Aldrich syndrome protein family member 2</t>
  </si>
  <si>
    <t>Bis(5-adenosyl)-triphosphatase ENPP4</t>
  </si>
  <si>
    <t>IGLV8-61</t>
  </si>
  <si>
    <t>IGLV7-46</t>
  </si>
  <si>
    <t>IGKV3D-11</t>
  </si>
  <si>
    <t>IGHV3-72</t>
  </si>
  <si>
    <t>IGHV3-66</t>
  </si>
  <si>
    <t>IGKV3D-7</t>
  </si>
  <si>
    <t>SHTN1</t>
  </si>
  <si>
    <t>IGKV2-29</t>
  </si>
  <si>
    <t>STRCP1</t>
  </si>
  <si>
    <t>BECN2</t>
  </si>
  <si>
    <t>MYO9A</t>
  </si>
  <si>
    <t>WASH3P</t>
  </si>
  <si>
    <t>NACA</t>
  </si>
  <si>
    <t>DNASE2</t>
  </si>
  <si>
    <t>PDLIM1</t>
  </si>
  <si>
    <t>MYO1C</t>
  </si>
  <si>
    <t>AIP</t>
  </si>
  <si>
    <t>AP3B1</t>
  </si>
  <si>
    <t>PSMD9</t>
  </si>
  <si>
    <t>PGRMC1</t>
  </si>
  <si>
    <t>CLIC1</t>
  </si>
  <si>
    <t>TNFRSF11B</t>
  </si>
  <si>
    <t>MATN2</t>
  </si>
  <si>
    <t>QSOX1</t>
  </si>
  <si>
    <t>WASL</t>
  </si>
  <si>
    <t>EML1</t>
  </si>
  <si>
    <t>GFRA2</t>
  </si>
  <si>
    <t>GOLIM4</t>
  </si>
  <si>
    <t>MANBA</t>
  </si>
  <si>
    <t>AGRN</t>
  </si>
  <si>
    <t>PLOD2</t>
  </si>
  <si>
    <t>CHL1</t>
  </si>
  <si>
    <t>RNASET2</t>
  </si>
  <si>
    <t>PODXL</t>
  </si>
  <si>
    <t>CYR61</t>
  </si>
  <si>
    <t>MAN2B1</t>
  </si>
  <si>
    <t>UBFD1</t>
  </si>
  <si>
    <t>ENPP3</t>
  </si>
  <si>
    <t>ADAM10</t>
  </si>
  <si>
    <t>PDCD5</t>
  </si>
  <si>
    <t>SLC9A3R1</t>
  </si>
  <si>
    <t>NRP1</t>
  </si>
  <si>
    <t>PSMA7</t>
  </si>
  <si>
    <t>PLXNB2</t>
  </si>
  <si>
    <t>CEP290</t>
  </si>
  <si>
    <t>ARPC2</t>
  </si>
  <si>
    <t>ADAMDEC1</t>
  </si>
  <si>
    <t>PFDN6</t>
  </si>
  <si>
    <t>LAMA5</t>
  </si>
  <si>
    <t>ZNF185</t>
  </si>
  <si>
    <t>MATN3</t>
  </si>
  <si>
    <t>CHAD</t>
  </si>
  <si>
    <t>TMPRSS2</t>
  </si>
  <si>
    <t>NCAM2</t>
  </si>
  <si>
    <t>YKT6</t>
  </si>
  <si>
    <t>ARPC5</t>
  </si>
  <si>
    <t>PHGDH</t>
  </si>
  <si>
    <t>ARHGAP6</t>
  </si>
  <si>
    <t>DYNC1LI2</t>
  </si>
  <si>
    <t>KLK10</t>
  </si>
  <si>
    <t>SPINT1</t>
  </si>
  <si>
    <t>SPINT2</t>
  </si>
  <si>
    <t>TPD52L2</t>
  </si>
  <si>
    <t>COCH</t>
  </si>
  <si>
    <t>AKR7A2</t>
  </si>
  <si>
    <t>B4GAT1</t>
  </si>
  <si>
    <t>SYT7</t>
  </si>
  <si>
    <t>DENR</t>
  </si>
  <si>
    <t>DNPH1</t>
  </si>
  <si>
    <t>PSCA</t>
  </si>
  <si>
    <t>PI15</t>
  </si>
  <si>
    <t>ACTN4</t>
  </si>
  <si>
    <t>SGTA</t>
  </si>
  <si>
    <t>NARS</t>
  </si>
  <si>
    <t>CALU</t>
  </si>
  <si>
    <t>PRPSAP2</t>
  </si>
  <si>
    <t>TBC1D4</t>
  </si>
  <si>
    <t>FZD6</t>
  </si>
  <si>
    <t>SYNCRIP</t>
  </si>
  <si>
    <t>B4GALT4</t>
  </si>
  <si>
    <t>GREM1</t>
  </si>
  <si>
    <t>PLOD3</t>
  </si>
  <si>
    <t>SELENOF</t>
  </si>
  <si>
    <t>PLIN3</t>
  </si>
  <si>
    <t>UGDH</t>
  </si>
  <si>
    <t>TOM1</t>
  </si>
  <si>
    <t>DNAJA2</t>
  </si>
  <si>
    <t>CUTA</t>
  </si>
  <si>
    <t>PFDN1</t>
  </si>
  <si>
    <t>NOL3</t>
  </si>
  <si>
    <t>EFCAB14</t>
  </si>
  <si>
    <t>WDR1</t>
  </si>
  <si>
    <t>SLIT1</t>
  </si>
  <si>
    <t>MEGF6</t>
  </si>
  <si>
    <t>ICOSLG</t>
  </si>
  <si>
    <t>GGCT</t>
  </si>
  <si>
    <t>UGT2B11</t>
  </si>
  <si>
    <t>SEMA7A</t>
  </si>
  <si>
    <t>TBCA</t>
  </si>
  <si>
    <t>ATP6V1G1</t>
  </si>
  <si>
    <t>ENTPD5</t>
  </si>
  <si>
    <t>BCAS1</t>
  </si>
  <si>
    <t>SH3BGRL</t>
  </si>
  <si>
    <t>FLNB</t>
  </si>
  <si>
    <t>TRIM3</t>
  </si>
  <si>
    <t>VPS26A</t>
  </si>
  <si>
    <t>GPC4</t>
  </si>
  <si>
    <t>CLN5</t>
  </si>
  <si>
    <t>PGLYRP1</t>
  </si>
  <si>
    <t>CREG1</t>
  </si>
  <si>
    <t>CRTAP</t>
  </si>
  <si>
    <t>B3GALNT1</t>
  </si>
  <si>
    <t>ATP6AP2</t>
  </si>
  <si>
    <t>EIF3G</t>
  </si>
  <si>
    <t>EIF3J</t>
  </si>
  <si>
    <t>IDH1</t>
  </si>
  <si>
    <t>ATRN</t>
  </si>
  <si>
    <t>CPD</t>
  </si>
  <si>
    <t>WISP2</t>
  </si>
  <si>
    <t>DDAH1</t>
  </si>
  <si>
    <t>B3GAT3</t>
  </si>
  <si>
    <t>SLIT2</t>
  </si>
  <si>
    <t>SORBS2</t>
  </si>
  <si>
    <t>PROSC</t>
  </si>
  <si>
    <t>ADGRL1</t>
  </si>
  <si>
    <t>ENDOD1</t>
  </si>
  <si>
    <t>SEC31A</t>
  </si>
  <si>
    <t>CLSTN1</t>
  </si>
  <si>
    <t>SEMA3D</t>
  </si>
  <si>
    <t>LYPD3</t>
  </si>
  <si>
    <t>PGLS</t>
  </si>
  <si>
    <t>TACC2</t>
  </si>
  <si>
    <t>PGM3</t>
  </si>
  <si>
    <t>MATN4</t>
  </si>
  <si>
    <t>STAMBP</t>
  </si>
  <si>
    <t>OXSR1</t>
  </si>
  <si>
    <t>STAU1</t>
  </si>
  <si>
    <t>BAG2</t>
  </si>
  <si>
    <t>BAG3</t>
  </si>
  <si>
    <t>EML2</t>
  </si>
  <si>
    <t>BPNT1</t>
  </si>
  <si>
    <t>DDAH2</t>
  </si>
  <si>
    <t>EFEMP2</t>
  </si>
  <si>
    <t>SCGB1D2</t>
  </si>
  <si>
    <t>RECK</t>
  </si>
  <si>
    <t>AGR2</t>
  </si>
  <si>
    <t>MOCS2</t>
  </si>
  <si>
    <t>LDHA</t>
  </si>
  <si>
    <t>ALDH1A1</t>
  </si>
  <si>
    <t>GSR</t>
  </si>
  <si>
    <t>SOD1</t>
  </si>
  <si>
    <t>CP</t>
  </si>
  <si>
    <t>PNP</t>
  </si>
  <si>
    <t>HPRT1</t>
  </si>
  <si>
    <t>EGFR</t>
  </si>
  <si>
    <t>PGK1</t>
  </si>
  <si>
    <t>AK1</t>
  </si>
  <si>
    <t>LALBA</t>
  </si>
  <si>
    <t>F2</t>
  </si>
  <si>
    <t>C1R</t>
  </si>
  <si>
    <t>HP</t>
  </si>
  <si>
    <t>CFD</t>
  </si>
  <si>
    <t>PLG</t>
  </si>
  <si>
    <t>F12</t>
  </si>
  <si>
    <t>PLAT</t>
  </si>
  <si>
    <t>CFB</t>
  </si>
  <si>
    <t>CA2</t>
  </si>
  <si>
    <t>ASS1</t>
  </si>
  <si>
    <t>SERPINC1</t>
  </si>
  <si>
    <t>SERPINA1</t>
  </si>
  <si>
    <t>SERPINA3</t>
  </si>
  <si>
    <t>AGT</t>
  </si>
  <si>
    <t>C3</t>
  </si>
  <si>
    <t>C5</t>
  </si>
  <si>
    <t>TIMP1</t>
  </si>
  <si>
    <t>CST3</t>
  </si>
  <si>
    <t>CST4</t>
  </si>
  <si>
    <t>CST1</t>
  </si>
  <si>
    <t>CSTA</t>
  </si>
  <si>
    <t>KNG1</t>
  </si>
  <si>
    <t>HRAS</t>
  </si>
  <si>
    <t>PDGFB</t>
  </si>
  <si>
    <t>LDLR</t>
  </si>
  <si>
    <t>TGFB1</t>
  </si>
  <si>
    <t>NPY</t>
  </si>
  <si>
    <t>IGF2</t>
  </si>
  <si>
    <t>JCHAIN</t>
  </si>
  <si>
    <t>IGKV3-20</t>
  </si>
  <si>
    <t>IGLV1-47</t>
  </si>
  <si>
    <t>PIGR</t>
  </si>
  <si>
    <t>IGKC</t>
  </si>
  <si>
    <t>IGHG2</t>
  </si>
  <si>
    <t>IGHG3</t>
  </si>
  <si>
    <t>IGHG4</t>
  </si>
  <si>
    <t>IGHA1</t>
  </si>
  <si>
    <t>LMNA</t>
  </si>
  <si>
    <t>APOA1</t>
  </si>
  <si>
    <t>APOE</t>
  </si>
  <si>
    <t>APOA2</t>
  </si>
  <si>
    <t>FGA</t>
  </si>
  <si>
    <t>FGB</t>
  </si>
  <si>
    <t>FGG</t>
  </si>
  <si>
    <t>C1QB</t>
  </si>
  <si>
    <t>C9</t>
  </si>
  <si>
    <t>APOH</t>
  </si>
  <si>
    <t>LRG1</t>
  </si>
  <si>
    <t>FN1</t>
  </si>
  <si>
    <t>RBP4</t>
  </si>
  <si>
    <t>AMBP</t>
  </si>
  <si>
    <t>ORM1</t>
  </si>
  <si>
    <t>AHSG</t>
  </si>
  <si>
    <t>TTR</t>
  </si>
  <si>
    <t>GC</t>
  </si>
  <si>
    <t>CXCL10</t>
  </si>
  <si>
    <t>TF</t>
  </si>
  <si>
    <t>LTF</t>
  </si>
  <si>
    <t>HPX</t>
  </si>
  <si>
    <t>SMR3B</t>
  </si>
  <si>
    <t>ANG</t>
  </si>
  <si>
    <t>KLKB1</t>
  </si>
  <si>
    <t>SLPI</t>
  </si>
  <si>
    <t>VTN</t>
  </si>
  <si>
    <t>GBA</t>
  </si>
  <si>
    <t>FUCA1</t>
  </si>
  <si>
    <t>ALDOA</t>
  </si>
  <si>
    <t>CSTB</t>
  </si>
  <si>
    <t>ANXA1</t>
  </si>
  <si>
    <t>PDGFA</t>
  </si>
  <si>
    <t>TFF1</t>
  </si>
  <si>
    <t>HRG</t>
  </si>
  <si>
    <t>A1BG</t>
  </si>
  <si>
    <t>KRT6B</t>
  </si>
  <si>
    <t>VWF</t>
  </si>
  <si>
    <t>SEMG1</t>
  </si>
  <si>
    <t>TUBB4A</t>
  </si>
  <si>
    <t>GAPDH</t>
  </si>
  <si>
    <t>CAPNS1</t>
  </si>
  <si>
    <t>AMY1A</t>
  </si>
  <si>
    <t>HSPB1</t>
  </si>
  <si>
    <t>IGF1</t>
  </si>
  <si>
    <t>CHGB</t>
  </si>
  <si>
    <t>ARG1</t>
  </si>
  <si>
    <t>APOD</t>
  </si>
  <si>
    <t>S100A8</t>
  </si>
  <si>
    <t>SERPINA5</t>
  </si>
  <si>
    <t>SERPING1</t>
  </si>
  <si>
    <t>CFI</t>
  </si>
  <si>
    <t>F13B</t>
  </si>
  <si>
    <t>MPO</t>
  </si>
  <si>
    <t>ALPL</t>
  </si>
  <si>
    <t>ICAM1</t>
  </si>
  <si>
    <t>RPLP2</t>
  </si>
  <si>
    <t>CLEC3B</t>
  </si>
  <si>
    <t>KRT18</t>
  </si>
  <si>
    <t>CSN2</t>
  </si>
  <si>
    <t>HPN</t>
  </si>
  <si>
    <t>UROD</t>
  </si>
  <si>
    <t>GLA</t>
  </si>
  <si>
    <t>GSN</t>
  </si>
  <si>
    <t>ATP5B</t>
  </si>
  <si>
    <t>C2</t>
  </si>
  <si>
    <t>S100A9</t>
  </si>
  <si>
    <t>S100A6</t>
  </si>
  <si>
    <t>APOA4</t>
  </si>
  <si>
    <t>ENO1</t>
  </si>
  <si>
    <t>TPM3</t>
  </si>
  <si>
    <t>ITGAV</t>
  </si>
  <si>
    <t>LPL</t>
  </si>
  <si>
    <t>HEXA</t>
  </si>
  <si>
    <t>KLK1</t>
  </si>
  <si>
    <t>DBI</t>
  </si>
  <si>
    <t>LDHB</t>
  </si>
  <si>
    <t>GPX1</t>
  </si>
  <si>
    <t>PROS1</t>
  </si>
  <si>
    <t>P4HB</t>
  </si>
  <si>
    <t>KLK3</t>
  </si>
  <si>
    <t>CTSD</t>
  </si>
  <si>
    <t>ANXA2</t>
  </si>
  <si>
    <t>C8A</t>
  </si>
  <si>
    <t>C8G</t>
  </si>
  <si>
    <t>CAPN1</t>
  </si>
  <si>
    <t>TUBB</t>
  </si>
  <si>
    <t>PRSS2</t>
  </si>
  <si>
    <t>CSN3</t>
  </si>
  <si>
    <t>DCN</t>
  </si>
  <si>
    <t>PSAP</t>
  </si>
  <si>
    <t>HEXB</t>
  </si>
  <si>
    <t>CTSL</t>
  </si>
  <si>
    <t>PFN1</t>
  </si>
  <si>
    <t>APRT</t>
  </si>
  <si>
    <t>CTSB</t>
  </si>
  <si>
    <t>HSP90AA1</t>
  </si>
  <si>
    <t>RET</t>
  </si>
  <si>
    <t>RNASE1</t>
  </si>
  <si>
    <t>MSMB</t>
  </si>
  <si>
    <t>ANXA6</t>
  </si>
  <si>
    <t>RHOC</t>
  </si>
  <si>
    <t>CD55</t>
  </si>
  <si>
    <t>SERPINA6</t>
  </si>
  <si>
    <t>SLC3A2</t>
  </si>
  <si>
    <t>HSP90AB1</t>
  </si>
  <si>
    <t>ELANE</t>
  </si>
  <si>
    <t>MMP2</t>
  </si>
  <si>
    <t>SOD3</t>
  </si>
  <si>
    <t>MME</t>
  </si>
  <si>
    <t>CD14</t>
  </si>
  <si>
    <t>CFH</t>
  </si>
  <si>
    <t>FGF4</t>
  </si>
  <si>
    <t>VIM</t>
  </si>
  <si>
    <t>SERPINF2</t>
  </si>
  <si>
    <t>ANXA5</t>
  </si>
  <si>
    <t>IGFBP1</t>
  </si>
  <si>
    <t>RPSA</t>
  </si>
  <si>
    <t>GSTP1</t>
  </si>
  <si>
    <t>CST2</t>
  </si>
  <si>
    <t>QDPR</t>
  </si>
  <si>
    <t>PAEP</t>
  </si>
  <si>
    <t>FBP1</t>
  </si>
  <si>
    <t>CLTB</t>
  </si>
  <si>
    <t>ANXA4</t>
  </si>
  <si>
    <t>INHBB</t>
  </si>
  <si>
    <t>CSF1</t>
  </si>
  <si>
    <t>CTSH</t>
  </si>
  <si>
    <t>TACSTD2</t>
  </si>
  <si>
    <t>C1S</t>
  </si>
  <si>
    <t>FURIN</t>
  </si>
  <si>
    <t>LTA4H</t>
  </si>
  <si>
    <t>ALDOC</t>
  </si>
  <si>
    <t>C4A</t>
  </si>
  <si>
    <t>NS</t>
  </si>
  <si>
    <t>INAFM2</t>
  </si>
  <si>
    <t>HSPA1B</t>
  </si>
  <si>
    <t>IGLC3</t>
  </si>
  <si>
    <t>IGKV1-13</t>
  </si>
  <si>
    <t>CALM3</t>
  </si>
  <si>
    <t>SLURP2</t>
  </si>
  <si>
    <t>GAA</t>
  </si>
  <si>
    <t>SPP1</t>
  </si>
  <si>
    <t>PTPRF</t>
  </si>
  <si>
    <t>TXN</t>
  </si>
  <si>
    <t>TGFB3</t>
  </si>
  <si>
    <t>CTSA</t>
  </si>
  <si>
    <t>CLU</t>
  </si>
  <si>
    <t>HSPA5</t>
  </si>
  <si>
    <t>LAMC1</t>
  </si>
  <si>
    <t>HSPA8</t>
  </si>
  <si>
    <t>LAMP1</t>
  </si>
  <si>
    <t>SCGB1A1</t>
  </si>
  <si>
    <t>IGF2R</t>
  </si>
  <si>
    <t>PRPS2</t>
  </si>
  <si>
    <t>PABPC1</t>
  </si>
  <si>
    <t>HARS</t>
  </si>
  <si>
    <t>COL6A1</t>
  </si>
  <si>
    <t>COL6A2</t>
  </si>
  <si>
    <t>PIP</t>
  </si>
  <si>
    <t>CKB</t>
  </si>
  <si>
    <t>ANXA3</t>
  </si>
  <si>
    <t>ACTN1</t>
  </si>
  <si>
    <t>ACE</t>
  </si>
  <si>
    <t>CDH1</t>
  </si>
  <si>
    <t>PEPD</t>
  </si>
  <si>
    <t>RNH1</t>
  </si>
  <si>
    <t>EEF2</t>
  </si>
  <si>
    <t>PDIA4</t>
  </si>
  <si>
    <t>C6</t>
  </si>
  <si>
    <t>ACP5</t>
  </si>
  <si>
    <t>TPT1</t>
  </si>
  <si>
    <t>ALAD</t>
  </si>
  <si>
    <t>LCP1</t>
  </si>
  <si>
    <t>APEH</t>
  </si>
  <si>
    <t>PRKAR2A</t>
  </si>
  <si>
    <t>CD59</t>
  </si>
  <si>
    <t>MIF</t>
  </si>
  <si>
    <t>PRKCSH</t>
  </si>
  <si>
    <t>FDPS</t>
  </si>
  <si>
    <t>CPM</t>
  </si>
  <si>
    <t>NID1</t>
  </si>
  <si>
    <t>AKR1A1</t>
  </si>
  <si>
    <t>PLA2G2A</t>
  </si>
  <si>
    <t>PKM</t>
  </si>
  <si>
    <t>HSP90B1</t>
  </si>
  <si>
    <t>IL1R1</t>
  </si>
  <si>
    <t>MMP9</t>
  </si>
  <si>
    <t>JUP</t>
  </si>
  <si>
    <t>AKR1B1</t>
  </si>
  <si>
    <t>ANPEP</t>
  </si>
  <si>
    <t>PVR</t>
  </si>
  <si>
    <t>GSPT1</t>
  </si>
  <si>
    <t>ARSA</t>
  </si>
  <si>
    <t>B4GALT1</t>
  </si>
  <si>
    <t>ACPP</t>
  </si>
  <si>
    <t>EZR</t>
  </si>
  <si>
    <t>FOLR1</t>
  </si>
  <si>
    <t>GNS</t>
  </si>
  <si>
    <t>VEGFA</t>
  </si>
  <si>
    <t>ARSB</t>
  </si>
  <si>
    <t>ST6GAL1</t>
  </si>
  <si>
    <t>DSP</t>
  </si>
  <si>
    <t>TIMP2</t>
  </si>
  <si>
    <t>CD44</t>
  </si>
  <si>
    <t>NQO2</t>
  </si>
  <si>
    <t>CBR1</t>
  </si>
  <si>
    <t>GLB1</t>
  </si>
  <si>
    <t>HIST1H1C</t>
  </si>
  <si>
    <t>ABO</t>
  </si>
  <si>
    <t>CD36</t>
  </si>
  <si>
    <t>GO</t>
  </si>
  <si>
    <t>CPE</t>
  </si>
  <si>
    <t>STMN1</t>
  </si>
  <si>
    <t>NAGA</t>
  </si>
  <si>
    <t>HSPA6</t>
  </si>
  <si>
    <t>GOT1</t>
  </si>
  <si>
    <t>IFNAR1</t>
  </si>
  <si>
    <t>BPI</t>
  </si>
  <si>
    <t>SMPD1</t>
  </si>
  <si>
    <t>CAPN2</t>
  </si>
  <si>
    <t>GM2A</t>
  </si>
  <si>
    <t>LGALS3</t>
  </si>
  <si>
    <t>IGFBP3</t>
  </si>
  <si>
    <t>TCP1</t>
  </si>
  <si>
    <t>IGFBP2</t>
  </si>
  <si>
    <t>VCL</t>
  </si>
  <si>
    <t>LBP</t>
  </si>
  <si>
    <t>IL1RN</t>
  </si>
  <si>
    <t>RPL17</t>
  </si>
  <si>
    <t>PGAM1</t>
  </si>
  <si>
    <t>XRCC1</t>
  </si>
  <si>
    <t>PAM</t>
  </si>
  <si>
    <t>MYL12A</t>
  </si>
  <si>
    <t>TNFRSF1A</t>
  </si>
  <si>
    <t>GGT1</t>
  </si>
  <si>
    <t>SRM</t>
  </si>
  <si>
    <t>ORM2</t>
  </si>
  <si>
    <t>AOC1</t>
  </si>
  <si>
    <t>ITIH1</t>
  </si>
  <si>
    <t>CEL</t>
  </si>
  <si>
    <t>FST</t>
  </si>
  <si>
    <t>TYMP</t>
  </si>
  <si>
    <t>TCN1</t>
  </si>
  <si>
    <t>ANXA7</t>
  </si>
  <si>
    <t>PGC</t>
  </si>
  <si>
    <t>KLK2</t>
  </si>
  <si>
    <t>SPINK2</t>
  </si>
  <si>
    <t>AZU1</t>
  </si>
  <si>
    <t>PSMB1</t>
  </si>
  <si>
    <t>LMNB1</t>
  </si>
  <si>
    <t>CAST</t>
  </si>
  <si>
    <t>EFNA1</t>
  </si>
  <si>
    <t>COL9A1</t>
  </si>
  <si>
    <t>AGA</t>
  </si>
  <si>
    <t>PTMS</t>
  </si>
  <si>
    <t>PTN</t>
  </si>
  <si>
    <t>GSTM3</t>
  </si>
  <si>
    <t>CSRP1</t>
  </si>
  <si>
    <t>FLNA</t>
  </si>
  <si>
    <t>SYT1</t>
  </si>
  <si>
    <t>NT5E</t>
  </si>
  <si>
    <t>GPD1</t>
  </si>
  <si>
    <t>MDK</t>
  </si>
  <si>
    <t>COMT</t>
  </si>
  <si>
    <t>OSBP</t>
  </si>
  <si>
    <t>PCMT1</t>
  </si>
  <si>
    <t>LPO</t>
  </si>
  <si>
    <t>IDS</t>
  </si>
  <si>
    <t>UBA1</t>
  </si>
  <si>
    <t>GPX3</t>
  </si>
  <si>
    <t>NME2</t>
  </si>
  <si>
    <t>IGFBP4</t>
  </si>
  <si>
    <t>CA4</t>
  </si>
  <si>
    <t>MMP8</t>
  </si>
  <si>
    <t>MRC1</t>
  </si>
  <si>
    <t>FBLN1</t>
  </si>
  <si>
    <t>CA6</t>
  </si>
  <si>
    <t>PPIB</t>
  </si>
  <si>
    <t>ANOS1</t>
  </si>
  <si>
    <t>WARS</t>
  </si>
  <si>
    <t>RPS3</t>
  </si>
  <si>
    <t>PTPRD</t>
  </si>
  <si>
    <t>PTPRG</t>
  </si>
  <si>
    <t>AHCY</t>
  </si>
  <si>
    <t>CFL1</t>
  </si>
  <si>
    <t>EIF4B</t>
  </si>
  <si>
    <t>PRTN3</t>
  </si>
  <si>
    <t>IGFBP6</t>
  </si>
  <si>
    <t>IGFBP5</t>
  </si>
  <si>
    <t>ACP1</t>
  </si>
  <si>
    <t>TNC</t>
  </si>
  <si>
    <t>DNASE1</t>
  </si>
  <si>
    <t>AZGP1</t>
  </si>
  <si>
    <t>RPS12</t>
  </si>
  <si>
    <t>DNAJB2</t>
  </si>
  <si>
    <t>CTSS</t>
  </si>
  <si>
    <t>PSMA1</t>
  </si>
  <si>
    <t>PSMA2</t>
  </si>
  <si>
    <t>PSMA3</t>
  </si>
  <si>
    <t>PSMA4</t>
  </si>
  <si>
    <t>S100P</t>
  </si>
  <si>
    <t>MSN</t>
  </si>
  <si>
    <t>RPL13</t>
  </si>
  <si>
    <t>S100A4</t>
  </si>
  <si>
    <t>MGAT1</t>
  </si>
  <si>
    <t>EEF1G</t>
  </si>
  <si>
    <t>FKBP2</t>
  </si>
  <si>
    <t>PON1</t>
  </si>
  <si>
    <t>ANXA13</t>
  </si>
  <si>
    <t>G0S2</t>
  </si>
  <si>
    <t>DPP4</t>
  </si>
  <si>
    <t>COL8A1</t>
  </si>
  <si>
    <t>CALR</t>
  </si>
  <si>
    <t>CANX</t>
  </si>
  <si>
    <t>PSMB8</t>
  </si>
  <si>
    <t>PSMB9</t>
  </si>
  <si>
    <t>PSMA5</t>
  </si>
  <si>
    <t>PSMB4</t>
  </si>
  <si>
    <t>PSMB6</t>
  </si>
  <si>
    <t>SSFA2</t>
  </si>
  <si>
    <t>GRN</t>
  </si>
  <si>
    <t>PTPRM</t>
  </si>
  <si>
    <t>LAP3</t>
  </si>
  <si>
    <t>CD38</t>
  </si>
  <si>
    <t>IMPA1</t>
  </si>
  <si>
    <t>TKT</t>
  </si>
  <si>
    <t>SERPINA4</t>
  </si>
  <si>
    <t>EEF1D</t>
  </si>
  <si>
    <t>ERP29</t>
  </si>
  <si>
    <t>PRDX6</t>
  </si>
  <si>
    <t>BLVRB</t>
  </si>
  <si>
    <t>PRDX5</t>
  </si>
  <si>
    <t>DDT</t>
  </si>
  <si>
    <t>PRDX3</t>
  </si>
  <si>
    <t>CMPK1</t>
  </si>
  <si>
    <t>PEBP1</t>
  </si>
  <si>
    <t>PDIA3</t>
  </si>
  <si>
    <t>NMT1</t>
  </si>
  <si>
    <t>HLA-B</t>
  </si>
  <si>
    <t>ADSS</t>
  </si>
  <si>
    <t>LRPAP1</t>
  </si>
  <si>
    <t>CLIP1</t>
  </si>
  <si>
    <t>SRI</t>
  </si>
  <si>
    <t>SERPINB1</t>
  </si>
  <si>
    <t>LCN1</t>
  </si>
  <si>
    <t>CORO1A</t>
  </si>
  <si>
    <t>S100A7</t>
  </si>
  <si>
    <t>MAT2A</t>
  </si>
  <si>
    <t>SDC4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</si>
  <si>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</si>
  <si>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</si>
  <si>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</si>
  <si>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</si>
  <si>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</si>
  <si>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</si>
  <si>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</si>
  <si>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</si>
  <si>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DCTD</t>
  </si>
  <si>
    <t>KIF5B</t>
  </si>
  <si>
    <t>CSTF2</t>
  </si>
  <si>
    <t>GALNS</t>
  </si>
  <si>
    <t>RNASE4</t>
  </si>
  <si>
    <t>EPHX2</t>
  </si>
  <si>
    <t>HSPA4</t>
  </si>
  <si>
    <t>GPC1</t>
  </si>
  <si>
    <t>SERPINB6</t>
  </si>
  <si>
    <t>RDX</t>
  </si>
  <si>
    <t>SPR</t>
  </si>
  <si>
    <t>RORA</t>
  </si>
  <si>
    <t>THBS4</t>
  </si>
  <si>
    <t>IDUA</t>
  </si>
  <si>
    <t>MYH9</t>
  </si>
  <si>
    <t>MYH10</t>
  </si>
  <si>
    <t>TIMP3</t>
  </si>
  <si>
    <t>GLRX</t>
  </si>
  <si>
    <t>PPM1A</t>
  </si>
  <si>
    <t>IGFALS</t>
  </si>
  <si>
    <t>PSMC2</t>
  </si>
  <si>
    <t>RPL4</t>
  </si>
  <si>
    <t>PGM1</t>
  </si>
  <si>
    <t>ACVR1B</t>
  </si>
  <si>
    <t>SERPINB5</t>
  </si>
  <si>
    <t>SERPINF1</t>
  </si>
  <si>
    <t>GMPR</t>
  </si>
  <si>
    <t>CFHR2</t>
  </si>
  <si>
    <t>SRP14</t>
  </si>
  <si>
    <t>TAGLN2</t>
  </si>
  <si>
    <t>TALDO1</t>
  </si>
  <si>
    <t>COL18A1</t>
  </si>
  <si>
    <t>CAPG</t>
  </si>
  <si>
    <t>IL6ST</t>
  </si>
  <si>
    <t>CCT6A</t>
  </si>
  <si>
    <t>MDH1</t>
  </si>
  <si>
    <t>MDH2</t>
  </si>
  <si>
    <t>EIF2S3</t>
  </si>
  <si>
    <t>MNDA</t>
  </si>
  <si>
    <t>PTGDS</t>
  </si>
  <si>
    <t>AKR1C3</t>
  </si>
  <si>
    <t>EPS15</t>
  </si>
  <si>
    <t>LIFR</t>
  </si>
  <si>
    <t>RPL35</t>
  </si>
  <si>
    <t>PRCP</t>
  </si>
  <si>
    <t>BTD</t>
  </si>
  <si>
    <t>NAMPT</t>
  </si>
  <si>
    <t>AFM</t>
  </si>
  <si>
    <t>PPIC</t>
  </si>
  <si>
    <t>CRK</t>
  </si>
  <si>
    <t>CRKL</t>
  </si>
  <si>
    <t>NSF</t>
  </si>
  <si>
    <t>RPS10</t>
  </si>
  <si>
    <t>GNPDA1</t>
  </si>
  <si>
    <t>IQGAP1</t>
  </si>
  <si>
    <t>GYG1</t>
  </si>
  <si>
    <t>CSN1S1</t>
  </si>
  <si>
    <t>CAPZA2</t>
  </si>
  <si>
    <t>CAPZB</t>
  </si>
  <si>
    <t>ALDH1A3</t>
  </si>
  <si>
    <t>RPL29</t>
  </si>
  <si>
    <t>LGALS7</t>
  </si>
  <si>
    <t>NPTX2</t>
  </si>
  <si>
    <t>XDH</t>
  </si>
  <si>
    <t>LIMS1</t>
  </si>
  <si>
    <t>TFPI2</t>
  </si>
  <si>
    <t>SERPINB4</t>
  </si>
  <si>
    <t>PRRC2A</t>
  </si>
  <si>
    <t>GSS</t>
  </si>
  <si>
    <t>HSPA13</t>
  </si>
  <si>
    <t>NOV</t>
  </si>
  <si>
    <t>ALDH9A1</t>
  </si>
  <si>
    <t>TGM4</t>
  </si>
  <si>
    <t>SPINT3</t>
  </si>
  <si>
    <t>FASN</t>
  </si>
  <si>
    <t>FNTA</t>
  </si>
  <si>
    <t>CCT3</t>
  </si>
  <si>
    <t>ALDH7A1</t>
  </si>
  <si>
    <t>SARS</t>
  </si>
  <si>
    <t>TMED10</t>
  </si>
  <si>
    <t>VEGFB</t>
  </si>
  <si>
    <t>HINT1</t>
  </si>
  <si>
    <t>RARRES1</t>
  </si>
  <si>
    <t>SELENOP</t>
  </si>
  <si>
    <t>MMP14</t>
  </si>
  <si>
    <t>GDI2</t>
  </si>
  <si>
    <t>ST13</t>
  </si>
  <si>
    <t>VASP</t>
  </si>
  <si>
    <t>DNM2</t>
  </si>
  <si>
    <t>TNFSF10</t>
  </si>
  <si>
    <t>BCAM</t>
  </si>
  <si>
    <t>PPT1</t>
  </si>
  <si>
    <t>CCT8</t>
  </si>
  <si>
    <t>CCT4</t>
  </si>
  <si>
    <t>ANXA11</t>
  </si>
  <si>
    <t>RAB5C</t>
  </si>
  <si>
    <t>RAB7A</t>
  </si>
  <si>
    <t>RAB27A</t>
  </si>
  <si>
    <t>DUSP3</t>
  </si>
  <si>
    <t>MMP15</t>
  </si>
  <si>
    <t>SGSH</t>
  </si>
  <si>
    <t>ZNF75D</t>
  </si>
  <si>
    <t>PGD</t>
  </si>
  <si>
    <t>ARHGDIA</t>
  </si>
  <si>
    <t>ARHGDIB</t>
  </si>
  <si>
    <t>RIDA</t>
  </si>
  <si>
    <t>SMS</t>
  </si>
  <si>
    <t>EFNB2</t>
  </si>
  <si>
    <t>STC1</t>
  </si>
  <si>
    <t>CAPZA1</t>
  </si>
  <si>
    <t>CRIP2</t>
  </si>
  <si>
    <t>BLVRA</t>
  </si>
  <si>
    <t>ARFIP1</t>
  </si>
  <si>
    <t>ACLY</t>
  </si>
  <si>
    <t>CTSC</t>
  </si>
  <si>
    <t>PTTG1IP</t>
  </si>
  <si>
    <t>CRISP1</t>
  </si>
  <si>
    <t>CRISP3</t>
  </si>
  <si>
    <t>CACNA2D1</t>
  </si>
  <si>
    <t>USP14</t>
  </si>
  <si>
    <t>RAD23A</t>
  </si>
  <si>
    <t>RAD23B</t>
  </si>
  <si>
    <t>EPHA5</t>
  </si>
  <si>
    <t>EPHB4</t>
  </si>
  <si>
    <t>NAGLU</t>
  </si>
  <si>
    <t>AK2</t>
  </si>
  <si>
    <t>GAS1</t>
  </si>
  <si>
    <t>NAPA</t>
  </si>
  <si>
    <t>PSMD4</t>
  </si>
  <si>
    <t>PLTP</t>
  </si>
  <si>
    <t>VCP</t>
  </si>
  <si>
    <t>MANF</t>
  </si>
  <si>
    <t>NAP1L1</t>
  </si>
  <si>
    <t>GP2</t>
  </si>
  <si>
    <t>LAMB2</t>
  </si>
  <si>
    <t>TPD52</t>
  </si>
  <si>
    <t>NPEPPS</t>
  </si>
  <si>
    <t>BID</t>
  </si>
  <si>
    <t>EDDM3B</t>
  </si>
  <si>
    <t>FAM3B</t>
  </si>
  <si>
    <t>MTPN</t>
  </si>
  <si>
    <t>DEFA3</t>
  </si>
  <si>
    <t>DEFB131</t>
  </si>
  <si>
    <t>ARPC4</t>
  </si>
  <si>
    <t>DEFB1</t>
  </si>
  <si>
    <t>GDI1</t>
  </si>
  <si>
    <t>TPI1</t>
  </si>
  <si>
    <t>MYL6</t>
  </si>
  <si>
    <t>EIF4A1</t>
  </si>
  <si>
    <t>PSMA6</t>
  </si>
  <si>
    <t>S100A10</t>
  </si>
  <si>
    <t>CDC42</t>
  </si>
  <si>
    <t>RAB5B</t>
  </si>
  <si>
    <t>UBE2N</t>
  </si>
  <si>
    <t>ACTR1A</t>
  </si>
  <si>
    <t>PCBD1</t>
  </si>
  <si>
    <t>HSPE1</t>
  </si>
  <si>
    <t>LYZ</t>
  </si>
  <si>
    <t>B2M</t>
  </si>
  <si>
    <t>NPC2</t>
  </si>
  <si>
    <t>COPZ1</t>
  </si>
  <si>
    <t>SUMO2</t>
  </si>
  <si>
    <t>UFM1</t>
  </si>
  <si>
    <t>NUTF2</t>
  </si>
  <si>
    <t>YWHAG</t>
  </si>
  <si>
    <t>PSMC5</t>
  </si>
  <si>
    <t>RPS16</t>
  </si>
  <si>
    <t>YWHAE</t>
  </si>
  <si>
    <t>RPS14</t>
  </si>
  <si>
    <t>RPS11</t>
  </si>
  <si>
    <t>LSM3</t>
  </si>
  <si>
    <t>TMSB4X</t>
  </si>
  <si>
    <t>RAB11A</t>
  </si>
  <si>
    <t>ETF1</t>
  </si>
  <si>
    <t>CNBP</t>
  </si>
  <si>
    <t>HIST1H4A</t>
  </si>
  <si>
    <t>RAB1A</t>
  </si>
  <si>
    <t>RPS28</t>
  </si>
  <si>
    <t>FAU</t>
  </si>
  <si>
    <t>RPL30</t>
  </si>
  <si>
    <t>RPL11</t>
  </si>
  <si>
    <t>PPIA</t>
  </si>
  <si>
    <t>FKBP1A</t>
  </si>
  <si>
    <t>UBA52</t>
  </si>
  <si>
    <t>RAC1</t>
  </si>
  <si>
    <t>AP2B1</t>
  </si>
  <si>
    <t>YWHAZ</t>
  </si>
  <si>
    <t>RPL38</t>
  </si>
  <si>
    <t>SKP1</t>
  </si>
  <si>
    <t>RPS21</t>
  </si>
  <si>
    <t>EIF5A</t>
  </si>
  <si>
    <t>RACK1</t>
  </si>
  <si>
    <t>ACTG1</t>
  </si>
  <si>
    <t>ACTG2</t>
  </si>
  <si>
    <t>YBX1</t>
  </si>
  <si>
    <t>TPM4</t>
  </si>
  <si>
    <t>TUBA4A</t>
  </si>
  <si>
    <t>PAFAH1B2</t>
  </si>
  <si>
    <t>HBB</t>
  </si>
  <si>
    <t>CCT2</t>
  </si>
  <si>
    <t>GSTO1</t>
  </si>
  <si>
    <t>BLOC1S1</t>
  </si>
  <si>
    <t>SRPX</t>
  </si>
  <si>
    <t>CXCL6</t>
  </si>
  <si>
    <t>LCN2</t>
  </si>
  <si>
    <t>NUCB2</t>
  </si>
  <si>
    <t>S100A12</t>
  </si>
  <si>
    <t>BASP1</t>
  </si>
  <si>
    <t>DCD</t>
  </si>
  <si>
    <t>RPL24</t>
  </si>
  <si>
    <t>FBLN2</t>
  </si>
  <si>
    <t>HSPG2</t>
  </si>
  <si>
    <t>EFNB1</t>
  </si>
  <si>
    <t>FKBP3</t>
  </si>
  <si>
    <t>SORD</t>
  </si>
  <si>
    <t>SPTBN1</t>
  </si>
  <si>
    <t>CTBS</t>
  </si>
  <si>
    <t>FABP5</t>
  </si>
  <si>
    <t>CAP1</t>
  </si>
  <si>
    <t>IL1RL1</t>
  </si>
  <si>
    <t>ROR2</t>
  </si>
  <si>
    <t>NAAA</t>
  </si>
  <si>
    <t>SEMG2</t>
  </si>
  <si>
    <t>DSG1</t>
  </si>
  <si>
    <t>DSC2</t>
  </si>
  <si>
    <t>FKBP4</t>
  </si>
  <si>
    <t>PLOD1</t>
  </si>
  <si>
    <t>NUCB1</t>
  </si>
  <si>
    <t>RPL6</t>
  </si>
  <si>
    <t>TGFBR3</t>
  </si>
  <si>
    <t>PTS</t>
  </si>
  <si>
    <t>PLAUR</t>
  </si>
  <si>
    <t>CFHR1</t>
  </si>
  <si>
    <t>FOLH1</t>
  </si>
  <si>
    <t>EIF4G1</t>
  </si>
  <si>
    <t>HGFAC</t>
  </si>
  <si>
    <t>GLO1</t>
  </si>
  <si>
    <t>ACVR1</t>
  </si>
  <si>
    <t>YWHAH</t>
  </si>
  <si>
    <t>PTK2</t>
  </si>
  <si>
    <t>GFPT1</t>
  </si>
  <si>
    <t>PSME1</t>
  </si>
  <si>
    <t>APLP2</t>
  </si>
  <si>
    <t>FMOD</t>
  </si>
  <si>
    <t>PRDX1</t>
  </si>
  <si>
    <t>RPL18</t>
  </si>
  <si>
    <t>TFF3</t>
  </si>
  <si>
    <t>BAX</t>
  </si>
  <si>
    <t>PCDH1</t>
  </si>
  <si>
    <t>PPP3CA</t>
  </si>
  <si>
    <t>CRYZ</t>
  </si>
  <si>
    <t>DDR1</t>
  </si>
  <si>
    <t>GOLGA3</t>
  </si>
  <si>
    <t>LGALS3BP</t>
  </si>
  <si>
    <t>DSC1</t>
  </si>
  <si>
    <t>SPOCK1</t>
  </si>
  <si>
    <t>AHNAK</t>
  </si>
  <si>
    <t>MGAT2</t>
  </si>
  <si>
    <t>GALNT2</t>
  </si>
  <si>
    <t>GALNT1</t>
  </si>
  <si>
    <t>AP1B1</t>
  </si>
  <si>
    <t>TWF1</t>
  </si>
  <si>
    <t>EFEMP1</t>
  </si>
  <si>
    <t>FSTL1</t>
  </si>
  <si>
    <t>MERTK</t>
  </si>
  <si>
    <t>DPYD</t>
  </si>
  <si>
    <t>LMAN2</t>
  </si>
  <si>
    <t>PTPRJ</t>
  </si>
  <si>
    <t>MYO1E</t>
  </si>
  <si>
    <t>FLII</t>
  </si>
  <si>
    <t>MTAP</t>
  </si>
  <si>
    <t>PRDX4</t>
  </si>
  <si>
    <t>SEMA3B</t>
  </si>
  <si>
    <t>DNAJC3</t>
  </si>
  <si>
    <t>SELENBP1</t>
  </si>
  <si>
    <t>CHIT1</t>
  </si>
  <si>
    <t>NME3</t>
  </si>
  <si>
    <t>PRKG2</t>
  </si>
  <si>
    <t>SEMA3F</t>
  </si>
  <si>
    <t>PTK7</t>
  </si>
  <si>
    <t>PTPRS</t>
  </si>
  <si>
    <t>UBE2V1</t>
  </si>
  <si>
    <t>MSLN</t>
  </si>
  <si>
    <t>OS9</t>
  </si>
  <si>
    <t>PDAP1</t>
  </si>
  <si>
    <t>ADAM9</t>
  </si>
  <si>
    <t>ADAM15</t>
  </si>
  <si>
    <t>LSAMP</t>
  </si>
  <si>
    <t>ASAH1</t>
  </si>
  <si>
    <t>DCTN2</t>
  </si>
  <si>
    <t>ALCAM</t>
  </si>
  <si>
    <t>SPTAN1</t>
  </si>
  <si>
    <t>CAPS</t>
  </si>
  <si>
    <t>IL16</t>
  </si>
  <si>
    <t>CKAP5</t>
  </si>
  <si>
    <t>COTL1</t>
  </si>
  <si>
    <t>COL9A2</t>
  </si>
  <si>
    <t>NID2</t>
  </si>
  <si>
    <t>DAG1</t>
  </si>
  <si>
    <t>DSG2</t>
  </si>
  <si>
    <t>DPYSL3</t>
  </si>
  <si>
    <t>EIF4A2</t>
  </si>
  <si>
    <t>CTTN</t>
  </si>
  <si>
    <t>FGL2</t>
  </si>
  <si>
    <t>GAS6</t>
  </si>
  <si>
    <t>EDDM3A</t>
  </si>
  <si>
    <t>WFDC2</t>
  </si>
  <si>
    <t>SPARCL1</t>
  </si>
  <si>
    <t>DSC3</t>
  </si>
  <si>
    <t>ITIH4</t>
  </si>
  <si>
    <t>DIP2A</t>
  </si>
  <si>
    <t>GANAB</t>
  </si>
  <si>
    <t>LTBP1</t>
  </si>
  <si>
    <t>LASP1</t>
  </si>
  <si>
    <t>PTGR1</t>
  </si>
  <si>
    <t>KPNB1</t>
  </si>
  <si>
    <t>PSMD6</t>
  </si>
  <si>
    <t>EIF4H</t>
  </si>
  <si>
    <t>EEA1</t>
  </si>
  <si>
    <t>PDIA6</t>
  </si>
  <si>
    <t>PCOLCE</t>
  </si>
  <si>
    <t>PEA15</t>
  </si>
  <si>
    <t>PLEC</t>
  </si>
  <si>
    <t>PON3</t>
  </si>
  <si>
    <t>PTGES3</t>
  </si>
  <si>
    <t>NECTIN1</t>
  </si>
  <si>
    <t>PTPA</t>
  </si>
  <si>
    <t>RCN1</t>
  </si>
  <si>
    <t>RALBP1</t>
  </si>
  <si>
    <t>PCBP1</t>
  </si>
  <si>
    <t>ANGPT1</t>
  </si>
  <si>
    <t>RSU1</t>
  </si>
  <si>
    <t>CDSN</t>
  </si>
  <si>
    <t>TSN</t>
  </si>
  <si>
    <t>MAPRE1</t>
  </si>
  <si>
    <t>UBE2V2</t>
  </si>
  <si>
    <t>CST6</t>
  </si>
  <si>
    <t>ADIRF</t>
  </si>
  <si>
    <t>ATP6AP1</t>
  </si>
  <si>
    <t>CCDC6</t>
  </si>
  <si>
    <t>IGFBP7</t>
  </si>
  <si>
    <t>PRR4</t>
  </si>
  <si>
    <t>DDB1</t>
  </si>
  <si>
    <t>CDC37</t>
  </si>
  <si>
    <t>CARTPT</t>
  </si>
  <si>
    <t>ECM1</t>
  </si>
  <si>
    <t>PRSS8</t>
  </si>
  <si>
    <t>MAN2A1</t>
  </si>
  <si>
    <t>QPCT</t>
  </si>
  <si>
    <t>UGP2</t>
  </si>
  <si>
    <t>TXNRD1</t>
  </si>
  <si>
    <t>TPD52L1</t>
  </si>
  <si>
    <t>SPINK13</t>
  </si>
  <si>
    <t>TMEM132A</t>
  </si>
  <si>
    <t>HLA-C</t>
  </si>
  <si>
    <t>KIF26B</t>
  </si>
  <si>
    <t>AAK1</t>
  </si>
  <si>
    <t>RABL6</t>
  </si>
  <si>
    <t>FUT11</t>
  </si>
  <si>
    <t>TP53I3</t>
  </si>
  <si>
    <t>PLA1A</t>
  </si>
  <si>
    <t>FBLN7</t>
  </si>
  <si>
    <t>HS1BP3</t>
  </si>
  <si>
    <t>SDK2</t>
  </si>
  <si>
    <t>VWA2</t>
  </si>
  <si>
    <t>TPP1</t>
  </si>
  <si>
    <t>APP</t>
  </si>
  <si>
    <t>NOMO2</t>
  </si>
  <si>
    <t>MIA3</t>
  </si>
  <si>
    <t>NHLRC3</t>
  </si>
  <si>
    <t>COLEC12</t>
  </si>
  <si>
    <t>PHYHD1</t>
  </si>
  <si>
    <t>KPRP</t>
  </si>
  <si>
    <t>DDI2</t>
  </si>
  <si>
    <t>CROCC</t>
  </si>
  <si>
    <t>EEF1A1P5</t>
  </si>
  <si>
    <t>CD276</t>
  </si>
  <si>
    <t>CEP135</t>
  </si>
  <si>
    <t>CPZ</t>
  </si>
  <si>
    <t>NCR3LG1</t>
  </si>
  <si>
    <t>ANKRD40</t>
  </si>
  <si>
    <t>IQSEC1</t>
  </si>
  <si>
    <t>VASN</t>
  </si>
  <si>
    <t>RALGAPA1</t>
  </si>
  <si>
    <t>IQCE</t>
  </si>
  <si>
    <t>TCTN3</t>
  </si>
  <si>
    <t>RGMB</t>
  </si>
  <si>
    <t>H3F3C</t>
  </si>
  <si>
    <t>CASC4</t>
  </si>
  <si>
    <t>GGT6</t>
  </si>
  <si>
    <t>LEG1</t>
  </si>
  <si>
    <t>VWA1</t>
  </si>
  <si>
    <t>CASC1</t>
  </si>
  <si>
    <t>AFTPH</t>
  </si>
  <si>
    <t>SBSN</t>
  </si>
  <si>
    <t>LCN15</t>
  </si>
  <si>
    <t>OLFM4</t>
  </si>
  <si>
    <t>PLXDC2</t>
  </si>
  <si>
    <t>SEZ6L2</t>
  </si>
  <si>
    <t>NPNT</t>
  </si>
  <si>
    <t>LRRN1</t>
  </si>
  <si>
    <t>BAIAP2L2</t>
  </si>
  <si>
    <t>PATE2</t>
  </si>
  <si>
    <t>MUC6</t>
  </si>
  <si>
    <t>CHRDL2</t>
  </si>
  <si>
    <t>NAPRT</t>
  </si>
  <si>
    <t>GIGYF2</t>
  </si>
  <si>
    <t>CD109</t>
  </si>
  <si>
    <t>THSD4</t>
  </si>
  <si>
    <t>MMS22L</t>
  </si>
  <si>
    <t>MFSD6</t>
  </si>
  <si>
    <t>TOM1L2</t>
  </si>
  <si>
    <t>TUBA1A</t>
  </si>
  <si>
    <t>BZW1</t>
  </si>
  <si>
    <t>ASRGL1</t>
  </si>
  <si>
    <t>CDC37L1</t>
  </si>
  <si>
    <t>COPS6</t>
  </si>
  <si>
    <t>RAB11FIP2</t>
  </si>
  <si>
    <t>MAMDC2</t>
  </si>
  <si>
    <t>HDDC2</t>
  </si>
  <si>
    <t>DCXR</t>
  </si>
  <si>
    <t>TMED4</t>
  </si>
  <si>
    <t>MEGF8</t>
  </si>
  <si>
    <t>E2</t>
  </si>
  <si>
    <t>ADGRG6</t>
  </si>
  <si>
    <t>ADAMTSL2</t>
  </si>
  <si>
    <t>OAF</t>
  </si>
  <si>
    <t>RTN4RL1</t>
  </si>
  <si>
    <t>KTN1</t>
  </si>
  <si>
    <t>GPR180</t>
  </si>
  <si>
    <t>VSIG10L</t>
  </si>
  <si>
    <t>TSPYL5</t>
  </si>
  <si>
    <t>LRP11</t>
  </si>
  <si>
    <t>LSR</t>
  </si>
  <si>
    <t>TICAM2</t>
  </si>
  <si>
    <t>XYLT1</t>
  </si>
  <si>
    <t>STX12</t>
  </si>
  <si>
    <t>PLD3</t>
  </si>
  <si>
    <t>SBSPON</t>
  </si>
  <si>
    <t>SERPINA12</t>
  </si>
  <si>
    <t>SMAP1</t>
  </si>
  <si>
    <t>SYTL1</t>
  </si>
  <si>
    <t>KIAA0319L</t>
  </si>
  <si>
    <t>CPAMD8</t>
  </si>
  <si>
    <t>ADGRG2</t>
  </si>
  <si>
    <t>SPG20</t>
  </si>
  <si>
    <t>SHISA5</t>
  </si>
  <si>
    <t>ARHGAP24</t>
  </si>
  <si>
    <t>LTBP4</t>
  </si>
  <si>
    <t>GPD1L</t>
  </si>
  <si>
    <t>TMEM132C</t>
  </si>
  <si>
    <t>SFRP1</t>
  </si>
  <si>
    <t>BPIFB2</t>
  </si>
  <si>
    <t>SVOP</t>
  </si>
  <si>
    <t>AFAP1L2</t>
  </si>
  <si>
    <t>ADAMTSL1</t>
  </si>
  <si>
    <t>CD177</t>
  </si>
  <si>
    <t>GOLM1</t>
  </si>
  <si>
    <t>POGLUT1</t>
  </si>
  <si>
    <t>TXNDC5</t>
  </si>
  <si>
    <t>PLA2G15</t>
  </si>
  <si>
    <t>CHST14</t>
  </si>
  <si>
    <t>GALNT6</t>
  </si>
  <si>
    <t>DNER</t>
  </si>
  <si>
    <t>CADM4</t>
  </si>
  <si>
    <t>PLBD2</t>
  </si>
  <si>
    <t>ITFG1</t>
  </si>
  <si>
    <t>PIP4K2C</t>
  </si>
  <si>
    <t>NEK9</t>
  </si>
  <si>
    <t>ADAMTS17</t>
  </si>
  <si>
    <t>EPS8L1</t>
  </si>
  <si>
    <t>DNAH5</t>
  </si>
  <si>
    <t>DQX1</t>
  </si>
  <si>
    <t>DTD1</t>
  </si>
  <si>
    <t>AFAP1L1</t>
  </si>
  <si>
    <t>SNED1</t>
  </si>
  <si>
    <t>SHROOM3</t>
  </si>
  <si>
    <t>WIPF2</t>
  </si>
  <si>
    <t>RAB2B</t>
  </si>
  <si>
    <t>PDCD6IP</t>
  </si>
  <si>
    <t>BRK1</t>
  </si>
  <si>
    <t>CANT1</t>
  </si>
  <si>
    <t>SELENOM</t>
  </si>
  <si>
    <t>WFDC12</t>
  </si>
  <si>
    <t>IGFBPL1</t>
  </si>
  <si>
    <t>PATE1</t>
  </si>
  <si>
    <t>SYNE2</t>
  </si>
  <si>
    <t>TTN</t>
  </si>
  <si>
    <t>LZIC</t>
  </si>
  <si>
    <t>IRGQ</t>
  </si>
  <si>
    <t>SMPDL3A</t>
  </si>
  <si>
    <t>SMPDL3B</t>
  </si>
  <si>
    <t>FAM3C</t>
  </si>
  <si>
    <t>NCSTN</t>
  </si>
  <si>
    <t>MRPS27</t>
  </si>
  <si>
    <t>NDRG1</t>
  </si>
  <si>
    <t>HSPH1</t>
  </si>
  <si>
    <t>PXDN</t>
  </si>
  <si>
    <t>SORL1</t>
  </si>
  <si>
    <t>NECTIN2</t>
  </si>
  <si>
    <t>PTPRU</t>
  </si>
  <si>
    <t>HTRA1</t>
  </si>
  <si>
    <t>CREBBP</t>
  </si>
  <si>
    <t>NRCAM</t>
  </si>
  <si>
    <t>NELL1</t>
  </si>
  <si>
    <t>EDA</t>
  </si>
  <si>
    <t>NEO1</t>
  </si>
  <si>
    <t>GLG1</t>
  </si>
  <si>
    <t>TNFRSF14</t>
  </si>
  <si>
    <t>USP13</t>
  </si>
  <si>
    <t>LPP</t>
  </si>
  <si>
    <t>HGD</t>
  </si>
  <si>
    <t>MYDGF</t>
  </si>
  <si>
    <t>TTC17</t>
  </si>
  <si>
    <t>PBXIP1</t>
  </si>
  <si>
    <t>RPE</t>
  </si>
  <si>
    <t>CREB3L1</t>
  </si>
  <si>
    <t>FAM3D</t>
  </si>
  <si>
    <t>EFHD2</t>
  </si>
  <si>
    <t>ISOC1</t>
  </si>
  <si>
    <t>CCDC124</t>
  </si>
  <si>
    <t>ZG16B</t>
  </si>
  <si>
    <t>SHISA4</t>
  </si>
  <si>
    <t>BPIFA2</t>
  </si>
  <si>
    <t>MUCL1</t>
  </si>
  <si>
    <t>ERLEC1</t>
  </si>
  <si>
    <t>GNPNAT1</t>
  </si>
  <si>
    <t>C1GALT1C1</t>
  </si>
  <si>
    <t>PIK3IP1</t>
  </si>
  <si>
    <t>BCAN</t>
  </si>
  <si>
    <t>PDLIM5</t>
  </si>
  <si>
    <t>CRELD1</t>
  </si>
  <si>
    <t>LRIG1</t>
  </si>
  <si>
    <t>LOXL4</t>
  </si>
  <si>
    <t>USP47</t>
  </si>
  <si>
    <t>MEGF10</t>
  </si>
  <si>
    <t>CNDP2</t>
  </si>
  <si>
    <t>LMLN</t>
  </si>
  <si>
    <t>PRRC1</t>
  </si>
  <si>
    <t>VSTM2L</t>
  </si>
  <si>
    <t>NECTIN4</t>
  </si>
  <si>
    <t>DCBLD2</t>
  </si>
  <si>
    <t>PEBP4</t>
  </si>
  <si>
    <t>FAM129B</t>
  </si>
  <si>
    <t>PSMD1</t>
  </si>
  <si>
    <t>PARK7</t>
  </si>
  <si>
    <t>NEU1</t>
  </si>
  <si>
    <t>SORT1</t>
  </si>
  <si>
    <t>VAT1</t>
  </si>
  <si>
    <t>LGMN</t>
  </si>
  <si>
    <t>SERPINI1</t>
  </si>
  <si>
    <t>EIF3C</t>
  </si>
  <si>
    <t>CGREF1</t>
  </si>
  <si>
    <t>COL12A1</t>
  </si>
  <si>
    <t>TIMP4</t>
  </si>
  <si>
    <t>NAP1L4</t>
  </si>
  <si>
    <t>OLFM1</t>
  </si>
  <si>
    <t>CCT7</t>
  </si>
  <si>
    <t>HIST1H2BL</t>
  </si>
  <si>
    <t>SH3GL1</t>
  </si>
  <si>
    <t>RARRES2</t>
  </si>
  <si>
    <t>SEMA3C</t>
  </si>
  <si>
    <t>GDF15</t>
  </si>
  <si>
    <t>ARPC5L</t>
  </si>
  <si>
    <t>SPOCK3</t>
  </si>
  <si>
    <t>AIF1L</t>
  </si>
  <si>
    <t>PRSS27</t>
  </si>
  <si>
    <t>CLSTN3</t>
  </si>
  <si>
    <t>CORO1B</t>
  </si>
  <si>
    <t>TXNDC17</t>
  </si>
  <si>
    <t>ZNF251</t>
  </si>
  <si>
    <t>SDF4</t>
  </si>
  <si>
    <t>PYM1</t>
  </si>
  <si>
    <t>ADPGK</t>
  </si>
  <si>
    <t>SIKE1</t>
  </si>
  <si>
    <t>ERP44</t>
  </si>
  <si>
    <t>LXN</t>
  </si>
  <si>
    <t>PRADC1</t>
  </si>
  <si>
    <t>ZNF577</t>
  </si>
  <si>
    <t>FUCA2</t>
  </si>
  <si>
    <t>SPON2</t>
  </si>
  <si>
    <t>EFHD1</t>
  </si>
  <si>
    <t>DDX23</t>
  </si>
  <si>
    <t>BDH2</t>
  </si>
  <si>
    <t>ADI1</t>
  </si>
  <si>
    <t>PBDC1</t>
  </si>
  <si>
    <t>SARG</t>
  </si>
  <si>
    <t>NUDT9</t>
  </si>
  <si>
    <t>ACAT2</t>
  </si>
  <si>
    <t>CHID1</t>
  </si>
  <si>
    <t>GON7</t>
  </si>
  <si>
    <t>CHMP4A</t>
  </si>
  <si>
    <t>CADM1</t>
  </si>
  <si>
    <t>REG4</t>
  </si>
  <si>
    <t>RTN4R</t>
  </si>
  <si>
    <t>DPY30</t>
  </si>
  <si>
    <t>TNKS1BP1</t>
  </si>
  <si>
    <t>TINAGL1</t>
  </si>
  <si>
    <t>PRSS22</t>
  </si>
  <si>
    <t>PDGFD</t>
  </si>
  <si>
    <t>TWSG1</t>
  </si>
  <si>
    <t>LACRT</t>
  </si>
  <si>
    <t>LHPP</t>
  </si>
  <si>
    <t>PAIP1</t>
  </si>
  <si>
    <t>FAM107B</t>
  </si>
  <si>
    <t>CRISPLD2</t>
  </si>
  <si>
    <t>TOLLIP</t>
  </si>
  <si>
    <t>C11orf54</t>
  </si>
  <si>
    <t>SIL1</t>
  </si>
  <si>
    <t>XYLT2</t>
  </si>
  <si>
    <t>RNASE7</t>
  </si>
  <si>
    <t>ASCC2</t>
  </si>
  <si>
    <t>MEGF9</t>
  </si>
  <si>
    <t>SH3BGRL3</t>
  </si>
  <si>
    <t>CRISPLD1</t>
  </si>
  <si>
    <t>SEMA4A</t>
  </si>
  <si>
    <t>CHMP4B</t>
  </si>
  <si>
    <t>FZD8</t>
  </si>
  <si>
    <t>RNPEP</t>
  </si>
  <si>
    <t>CLSTN2</t>
  </si>
  <si>
    <t>RABEP2</t>
  </si>
  <si>
    <t>CDCP1</t>
  </si>
  <si>
    <t>CLMP</t>
  </si>
  <si>
    <t>C12orf49</t>
  </si>
  <si>
    <t>MANSC1</t>
  </si>
  <si>
    <t>MINDY3</t>
  </si>
  <si>
    <t>JPT2</t>
  </si>
  <si>
    <t>SIAE</t>
  </si>
  <si>
    <t>SCPEP1</t>
  </si>
  <si>
    <t>NTN4</t>
  </si>
  <si>
    <t>CACYBP</t>
  </si>
  <si>
    <t>SLC38A10</t>
  </si>
  <si>
    <t>GLOD4</t>
  </si>
  <si>
    <t>MUC5B</t>
  </si>
  <si>
    <t>EPG5</t>
  </si>
  <si>
    <t>CELSR2</t>
  </si>
  <si>
    <t>RETN</t>
  </si>
  <si>
    <t>NRXN3</t>
  </si>
  <si>
    <t>ARFGAP3</t>
  </si>
  <si>
    <t>VTA1</t>
  </si>
  <si>
    <t>DYNLRB1</t>
  </si>
  <si>
    <t>A4GALT</t>
  </si>
  <si>
    <t>CD320</t>
  </si>
  <si>
    <t>CHST11</t>
  </si>
  <si>
    <t>ACP6</t>
  </si>
  <si>
    <t>IL1RAP</t>
  </si>
  <si>
    <t>SEMA4B</t>
  </si>
  <si>
    <t>SCUBE2</t>
  </si>
  <si>
    <t>SPINK5</t>
  </si>
  <si>
    <t>CRTAC1</t>
  </si>
  <si>
    <t>PFDN4</t>
  </si>
  <si>
    <t>NIT2</t>
  </si>
  <si>
    <t>KIF13B</t>
  </si>
  <si>
    <t>XPNPEP1</t>
  </si>
  <si>
    <t>GPHN</t>
  </si>
  <si>
    <t>NPDC1</t>
  </si>
  <si>
    <t>MAN1C1</t>
  </si>
  <si>
    <t>NANS</t>
  </si>
  <si>
    <t>MXRA5</t>
  </si>
  <si>
    <t>PDGFC</t>
  </si>
  <si>
    <t>HEBP1</t>
  </si>
  <si>
    <t>ARHGAP35</t>
  </si>
  <si>
    <t>LTBP3</t>
  </si>
  <si>
    <t>TNFRSF19</t>
  </si>
  <si>
    <t>PDS5B</t>
  </si>
  <si>
    <t>GINM1</t>
  </si>
  <si>
    <t>DPP3</t>
  </si>
  <si>
    <t>TMOD3</t>
  </si>
  <si>
    <t>ZNF226</t>
  </si>
  <si>
    <t>ERAP1</t>
  </si>
  <si>
    <t>PLA2G3</t>
  </si>
  <si>
    <t>PODXL2</t>
  </si>
  <si>
    <t>EIF2AK3</t>
  </si>
  <si>
    <t>MYOF</t>
  </si>
  <si>
    <t>ITSN2</t>
  </si>
  <si>
    <t>C1RL</t>
  </si>
  <si>
    <t>CRIM1</t>
  </si>
  <si>
    <t>CHMP5</t>
  </si>
  <si>
    <t>RAI14</t>
  </si>
  <si>
    <t>VAPA</t>
  </si>
  <si>
    <t>COX16</t>
  </si>
  <si>
    <t>CNTN3</t>
  </si>
  <si>
    <t>DIP2B</t>
  </si>
  <si>
    <t>RRBP1</t>
  </si>
  <si>
    <t>GMPR2</t>
  </si>
  <si>
    <t>SPRR3</t>
  </si>
  <si>
    <t>DKK3</t>
  </si>
  <si>
    <t>CTSZ</t>
  </si>
  <si>
    <t>DNAJB9</t>
  </si>
  <si>
    <t>PEF1</t>
  </si>
  <si>
    <t>COPS7A</t>
  </si>
  <si>
    <t>CTSF</t>
  </si>
  <si>
    <t>FBLN5</t>
  </si>
  <si>
    <t>KLK11</t>
  </si>
  <si>
    <t>PPP1R1B</t>
  </si>
  <si>
    <t>TJP2</t>
  </si>
  <si>
    <t>DNAH17</t>
  </si>
  <si>
    <t>DMBT1</t>
  </si>
  <si>
    <t>FETUB</t>
  </si>
  <si>
    <t>NDRG3</t>
  </si>
  <si>
    <t>CNTNAP2</t>
  </si>
  <si>
    <t>PCSK1N</t>
  </si>
  <si>
    <t>ADAMTS1</t>
  </si>
  <si>
    <t>DPP7</t>
  </si>
  <si>
    <t>TCEAL9</t>
  </si>
  <si>
    <t>PFDN2</t>
  </si>
  <si>
    <t>ENOPH1</t>
  </si>
  <si>
    <t>ATP6V1H</t>
  </si>
  <si>
    <t>SH3BGRL2</t>
  </si>
  <si>
    <t>METRN</t>
  </si>
  <si>
    <t>GNPTG</t>
  </si>
  <si>
    <t>NUDT5</t>
  </si>
  <si>
    <t>RAB21</t>
  </si>
  <si>
    <t>PSME2</t>
  </si>
  <si>
    <t>FAM184B</t>
  </si>
  <si>
    <t>MKL2</t>
  </si>
  <si>
    <t>PLXNB3</t>
  </si>
  <si>
    <t>EPDR1</t>
  </si>
  <si>
    <t>MYO6</t>
  </si>
  <si>
    <t>UBQLN1</t>
  </si>
  <si>
    <t>NENF</t>
  </si>
  <si>
    <t>NDRG2</t>
  </si>
  <si>
    <t>G3BP2</t>
  </si>
  <si>
    <t>MINPP1</t>
  </si>
  <si>
    <t>RPL26L1</t>
  </si>
  <si>
    <t>NSFL1C</t>
  </si>
  <si>
    <t>SHOC2</t>
  </si>
  <si>
    <t>PA2G4</t>
  </si>
  <si>
    <t>BAIAP2</t>
  </si>
  <si>
    <t>RUVBL1</t>
  </si>
  <si>
    <t>NUDC</t>
  </si>
  <si>
    <t>DRG1</t>
  </si>
  <si>
    <t>B3GNT3</t>
  </si>
  <si>
    <t>MAN2B2</t>
  </si>
  <si>
    <t>CRYL1</t>
  </si>
  <si>
    <t>CAB39</t>
  </si>
  <si>
    <t>REXO2</t>
  </si>
  <si>
    <t>TLN1</t>
  </si>
  <si>
    <t>HYOU1</t>
  </si>
  <si>
    <t>CD2AP</t>
  </si>
  <si>
    <t>SNX5</t>
  </si>
  <si>
    <t>LIPG</t>
  </si>
  <si>
    <t>ST14</t>
  </si>
  <si>
    <t>HEBP2</t>
  </si>
  <si>
    <t>LRRFIP2</t>
  </si>
  <si>
    <t>F11R</t>
  </si>
  <si>
    <t>CPQ</t>
  </si>
  <si>
    <t>ADGRG1</t>
  </si>
  <si>
    <t>CLIC4</t>
  </si>
  <si>
    <t>DYNC1LI1</t>
  </si>
  <si>
    <t>EPN1</t>
  </si>
  <si>
    <t>IKBKG</t>
  </si>
  <si>
    <t>FCGBP</t>
  </si>
  <si>
    <t>SCIN</t>
  </si>
  <si>
    <t>WASF2</t>
  </si>
  <si>
    <t>ENPP4</t>
  </si>
  <si>
    <t>A0A075B6I0</t>
  </si>
  <si>
    <t>A0A075B6I9</t>
  </si>
  <si>
    <t>A0A0A0MRZ8</t>
  </si>
  <si>
    <t>A0A0B4J1Y9</t>
  </si>
  <si>
    <t>A0A0C4DH42</t>
  </si>
  <si>
    <t>A0A0C4DH55</t>
  </si>
  <si>
    <t>A0MZ66-8</t>
  </si>
  <si>
    <t>A2NJV5</t>
  </si>
  <si>
    <t>A6NGW2</t>
  </si>
  <si>
    <t>A8MW95</t>
  </si>
  <si>
    <t>B2RTY4-5</t>
  </si>
  <si>
    <t>C4AMC7</t>
  </si>
  <si>
    <t>E9PAV3</t>
  </si>
  <si>
    <t>O00115-2</t>
  </si>
  <si>
    <t>O00151</t>
  </si>
  <si>
    <t>O00159-2</t>
  </si>
  <si>
    <t>O00170</t>
  </si>
  <si>
    <t>O00203-3</t>
  </si>
  <si>
    <t>O00233</t>
  </si>
  <si>
    <t>O00264</t>
  </si>
  <si>
    <t>O00299</t>
  </si>
  <si>
    <t>O00300</t>
  </si>
  <si>
    <t>O00339-2</t>
  </si>
  <si>
    <t>O00391</t>
  </si>
  <si>
    <t>O00391-2</t>
  </si>
  <si>
    <t>O00401</t>
  </si>
  <si>
    <t>O00423</t>
  </si>
  <si>
    <t>O00451</t>
  </si>
  <si>
    <t>O00461</t>
  </si>
  <si>
    <t>O00462</t>
  </si>
  <si>
    <t>O00468-6</t>
  </si>
  <si>
    <t>O00469</t>
  </si>
  <si>
    <t>O00533</t>
  </si>
  <si>
    <t>O00584</t>
  </si>
  <si>
    <t>O00592-2</t>
  </si>
  <si>
    <t>O00622</t>
  </si>
  <si>
    <t>O00754-2</t>
  </si>
  <si>
    <t>O14562</t>
  </si>
  <si>
    <t>O14638</t>
  </si>
  <si>
    <t>O14672</t>
  </si>
  <si>
    <t>O14737</t>
  </si>
  <si>
    <t>O14745</t>
  </si>
  <si>
    <t>O14786-3</t>
  </si>
  <si>
    <t>O14818</t>
  </si>
  <si>
    <t>O15031</t>
  </si>
  <si>
    <t>O15078-2</t>
  </si>
  <si>
    <t>O15144</t>
  </si>
  <si>
    <t>O15204-2</t>
  </si>
  <si>
    <t>O15212</t>
  </si>
  <si>
    <t>O15230</t>
  </si>
  <si>
    <t>O15231-5</t>
  </si>
  <si>
    <t>O15232-2</t>
  </si>
  <si>
    <t>O15335</t>
  </si>
  <si>
    <t>O15393</t>
  </si>
  <si>
    <t>O15394</t>
  </si>
  <si>
    <t>O15498-2</t>
  </si>
  <si>
    <t>O15511</t>
  </si>
  <si>
    <t>O43175</t>
  </si>
  <si>
    <t>O43182-5</t>
  </si>
  <si>
    <t>O43237-2</t>
  </si>
  <si>
    <t>O43240</t>
  </si>
  <si>
    <t>O43278</t>
  </si>
  <si>
    <t>O43291</t>
  </si>
  <si>
    <t>O43399-2</t>
  </si>
  <si>
    <t>O43405</t>
  </si>
  <si>
    <t>O43488</t>
  </si>
  <si>
    <t>O43505</t>
  </si>
  <si>
    <t>O43581</t>
  </si>
  <si>
    <t>O43583</t>
  </si>
  <si>
    <t>O43598-2</t>
  </si>
  <si>
    <t>O43653</t>
  </si>
  <si>
    <t>O43692</t>
  </si>
  <si>
    <t>O43707</t>
  </si>
  <si>
    <t>O43765</t>
  </si>
  <si>
    <t>O43776</t>
  </si>
  <si>
    <t>O43852-2</t>
  </si>
  <si>
    <t>O60256-4</t>
  </si>
  <si>
    <t>O60343-4</t>
  </si>
  <si>
    <t>O60353-2</t>
  </si>
  <si>
    <t>O60506-5</t>
  </si>
  <si>
    <t>O60513</t>
  </si>
  <si>
    <t>O60565-2</t>
  </si>
  <si>
    <t>O60568</t>
  </si>
  <si>
    <t>O60613</t>
  </si>
  <si>
    <t>O60664-4</t>
  </si>
  <si>
    <t>O60701-3</t>
  </si>
  <si>
    <t>O60784-3</t>
  </si>
  <si>
    <t>O60884</t>
  </si>
  <si>
    <t>O60888-3</t>
  </si>
  <si>
    <t>O60925</t>
  </si>
  <si>
    <t>O60936</t>
  </si>
  <si>
    <t>O75071</t>
  </si>
  <si>
    <t>O75083-3</t>
  </si>
  <si>
    <t>O75093</t>
  </si>
  <si>
    <t>O75095</t>
  </si>
  <si>
    <t>O75144-3</t>
  </si>
  <si>
    <t>O75223-3</t>
  </si>
  <si>
    <t>O75310</t>
  </si>
  <si>
    <t>O75326-2</t>
  </si>
  <si>
    <t>O75347</t>
  </si>
  <si>
    <t>O75348</t>
  </si>
  <si>
    <t>O75356</t>
  </si>
  <si>
    <t>O75363</t>
  </si>
  <si>
    <t>O75368</t>
  </si>
  <si>
    <t>O75369-7</t>
  </si>
  <si>
    <t>O75382-4</t>
  </si>
  <si>
    <t>O75436-2</t>
  </si>
  <si>
    <t>O75487</t>
  </si>
  <si>
    <t>O75503</t>
  </si>
  <si>
    <t>O75594</t>
  </si>
  <si>
    <t>O75629</t>
  </si>
  <si>
    <t>O75718</t>
  </si>
  <si>
    <t>O75752</t>
  </si>
  <si>
    <t>O75787-2</t>
  </si>
  <si>
    <t>O75821</t>
  </si>
  <si>
    <t>O75822-2</t>
  </si>
  <si>
    <t>O75874</t>
  </si>
  <si>
    <t>O75882-3</t>
  </si>
  <si>
    <t>O75976</t>
  </si>
  <si>
    <t>O76076</t>
  </si>
  <si>
    <t>O94760</t>
  </si>
  <si>
    <t>O94766-2</t>
  </si>
  <si>
    <t>O94813-3</t>
  </si>
  <si>
    <t>O94875-9</t>
  </si>
  <si>
    <t>O94903</t>
  </si>
  <si>
    <t>O94910-2</t>
  </si>
  <si>
    <t>O94919</t>
  </si>
  <si>
    <t>O94979-5</t>
  </si>
  <si>
    <t>O94985-2</t>
  </si>
  <si>
    <t>O95025</t>
  </si>
  <si>
    <t>O95274</t>
  </si>
  <si>
    <t>O95336</t>
  </si>
  <si>
    <t>O95359-3</t>
  </si>
  <si>
    <t>O95394</t>
  </si>
  <si>
    <t>O95460-4</t>
  </si>
  <si>
    <t>O95630</t>
  </si>
  <si>
    <t>O95747</t>
  </si>
  <si>
    <t>O95793-2</t>
  </si>
  <si>
    <t>O95816</t>
  </si>
  <si>
    <t>O95817</t>
  </si>
  <si>
    <t>O95834</t>
  </si>
  <si>
    <t>O95861-3</t>
  </si>
  <si>
    <t>O95865</t>
  </si>
  <si>
    <t>O95967</t>
  </si>
  <si>
    <t>O95969</t>
  </si>
  <si>
    <t>O95980</t>
  </si>
  <si>
    <t>O95994</t>
  </si>
  <si>
    <t>O96007</t>
  </si>
  <si>
    <t>P00338</t>
  </si>
  <si>
    <t>P00352</t>
  </si>
  <si>
    <t>P00390-5</t>
  </si>
  <si>
    <t>P00441</t>
  </si>
  <si>
    <t>P00450</t>
  </si>
  <si>
    <t>P00491</t>
  </si>
  <si>
    <t>P00492</t>
  </si>
  <si>
    <t>P00533-2</t>
  </si>
  <si>
    <t>P00558</t>
  </si>
  <si>
    <t>P00568</t>
  </si>
  <si>
    <t>P00709</t>
  </si>
  <si>
    <t>P00734</t>
  </si>
  <si>
    <t>P00736</t>
  </si>
  <si>
    <t>P00738</t>
  </si>
  <si>
    <t>P00746</t>
  </si>
  <si>
    <t>P00747</t>
  </si>
  <si>
    <t>P00748</t>
  </si>
  <si>
    <t>P00750-3</t>
  </si>
  <si>
    <t>P00751</t>
  </si>
  <si>
    <t>P00918</t>
  </si>
  <si>
    <t>P00966</t>
  </si>
  <si>
    <t>P01008</t>
  </si>
  <si>
    <t>P01009</t>
  </si>
  <si>
    <t>P01011</t>
  </si>
  <si>
    <t>P01019</t>
  </si>
  <si>
    <t>P01024</t>
  </si>
  <si>
    <t>P01031</t>
  </si>
  <si>
    <t>P01033</t>
  </si>
  <si>
    <t>P01034</t>
  </si>
  <si>
    <t>P01036</t>
  </si>
  <si>
    <t>P01037</t>
  </si>
  <si>
    <t>P01040</t>
  </si>
  <si>
    <t>P01042-2</t>
  </si>
  <si>
    <t>P01112-2</t>
  </si>
  <si>
    <t>P01127-2</t>
  </si>
  <si>
    <t>P01130-3</t>
  </si>
  <si>
    <t>P01137</t>
  </si>
  <si>
    <t>P01303</t>
  </si>
  <si>
    <t>P01344</t>
  </si>
  <si>
    <t>P01591</t>
  </si>
  <si>
    <t>P01619</t>
  </si>
  <si>
    <t>P01700</t>
  </si>
  <si>
    <t>P01833</t>
  </si>
  <si>
    <t>P01834</t>
  </si>
  <si>
    <t>P01859</t>
  </si>
  <si>
    <t>P01860</t>
  </si>
  <si>
    <t>P01861</t>
  </si>
  <si>
    <t>P01876</t>
  </si>
  <si>
    <t>P02545-2</t>
  </si>
  <si>
    <t>P02647</t>
  </si>
  <si>
    <t>P02649</t>
  </si>
  <si>
    <t>P02652</t>
  </si>
  <si>
    <t>P02671-2</t>
  </si>
  <si>
    <t>P02675</t>
  </si>
  <si>
    <t>P02679-2</t>
  </si>
  <si>
    <t>P02746</t>
  </si>
  <si>
    <t>P02748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</si>
  <si>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</si>
  <si>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</si>
  <si>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</si>
  <si>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</si>
  <si>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</si>
  <si>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</si>
  <si>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</si>
  <si>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</si>
  <si>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P02774</t>
  </si>
  <si>
    <t>P02778</t>
  </si>
  <si>
    <t>P02787</t>
  </si>
  <si>
    <t>P02788</t>
  </si>
  <si>
    <t>P02790</t>
  </si>
  <si>
    <t>P02814</t>
  </si>
  <si>
    <t>P03950</t>
  </si>
  <si>
    <t>P03952</t>
  </si>
  <si>
    <t>P03973</t>
  </si>
  <si>
    <t>P04004</t>
  </si>
  <si>
    <t>P04062-4</t>
  </si>
  <si>
    <t>P04066</t>
  </si>
  <si>
    <t>P04075</t>
  </si>
  <si>
    <t>P04080</t>
  </si>
  <si>
    <t>P04083</t>
  </si>
  <si>
    <t>P04085-2</t>
  </si>
  <si>
    <t>P04155</t>
  </si>
  <si>
    <t>P04196</t>
  </si>
  <si>
    <t>P04217</t>
  </si>
  <si>
    <t>P04259</t>
  </si>
  <si>
    <t>P04275</t>
  </si>
  <si>
    <t>P04279</t>
  </si>
  <si>
    <t>P04350</t>
  </si>
  <si>
    <t>P04406-2</t>
  </si>
  <si>
    <t>P04632</t>
  </si>
  <si>
    <t>P04745</t>
  </si>
  <si>
    <t>P04792</t>
  </si>
  <si>
    <t>P05019-3</t>
  </si>
  <si>
    <t>P05060</t>
  </si>
  <si>
    <t>P05089-3</t>
  </si>
  <si>
    <t>P05090</t>
  </si>
  <si>
    <t>P05109</t>
  </si>
  <si>
    <t>P05154</t>
  </si>
  <si>
    <t>P05155-2</t>
  </si>
  <si>
    <t>P05156</t>
  </si>
  <si>
    <t>P05160</t>
  </si>
  <si>
    <t>P05164-2</t>
  </si>
  <si>
    <t>P05186-2</t>
  </si>
  <si>
    <t>P05362</t>
  </si>
  <si>
    <t>P05387</t>
  </si>
  <si>
    <t>P05452</t>
  </si>
  <si>
    <t>P05783</t>
  </si>
  <si>
    <t>P05814</t>
  </si>
  <si>
    <t>P05981</t>
  </si>
  <si>
    <t>P06132</t>
  </si>
  <si>
    <t>P06280</t>
  </si>
  <si>
    <t>P06396-2</t>
  </si>
  <si>
    <t>P06576</t>
  </si>
  <si>
    <t>P06681</t>
  </si>
  <si>
    <t>P06702</t>
  </si>
  <si>
    <t>P06703</t>
  </si>
  <si>
    <t>P06727</t>
  </si>
  <si>
    <t>P06733</t>
  </si>
  <si>
    <t>P06753-5</t>
  </si>
  <si>
    <t>P06756-3</t>
  </si>
  <si>
    <t>P06858</t>
  </si>
  <si>
    <t>P06865</t>
  </si>
  <si>
    <t>P06870-2</t>
  </si>
  <si>
    <t>P07108</t>
  </si>
  <si>
    <t>P07195</t>
  </si>
  <si>
    <t>P07203</t>
  </si>
  <si>
    <t>P07225</t>
  </si>
  <si>
    <t>P07237</t>
  </si>
  <si>
    <t>P07288</t>
  </si>
  <si>
    <t>P07339</t>
  </si>
  <si>
    <t>P07355</t>
  </si>
  <si>
    <t>P07357</t>
  </si>
  <si>
    <t>P07360</t>
  </si>
  <si>
    <t>P07384</t>
  </si>
  <si>
    <t>P07437</t>
  </si>
  <si>
    <t>P07478</t>
  </si>
  <si>
    <t>P07498</t>
  </si>
  <si>
    <t>P07585</t>
  </si>
  <si>
    <t>P07602</t>
  </si>
  <si>
    <t>P07686</t>
  </si>
  <si>
    <t>P07711</t>
  </si>
  <si>
    <t>P07737</t>
  </si>
  <si>
    <t>P07741-2</t>
  </si>
  <si>
    <t>P07858</t>
  </si>
  <si>
    <t>P07900</t>
  </si>
  <si>
    <t>P07949-2</t>
  </si>
  <si>
    <t>P07998</t>
  </si>
  <si>
    <t>P08118</t>
  </si>
  <si>
    <t>P08133-2</t>
  </si>
  <si>
    <t>P08134</t>
  </si>
  <si>
    <t>P08174-4</t>
  </si>
  <si>
    <t>P08185</t>
  </si>
  <si>
    <t>P08195-2</t>
  </si>
  <si>
    <t>P08238</t>
  </si>
  <si>
    <t>P08246</t>
  </si>
  <si>
    <t>P08253-3</t>
  </si>
  <si>
    <t>P08294</t>
  </si>
  <si>
    <t>P08473</t>
  </si>
  <si>
    <t>P08571</t>
  </si>
  <si>
    <t>P08603</t>
  </si>
  <si>
    <t>P08620</t>
  </si>
  <si>
    <t>P08670</t>
  </si>
  <si>
    <t>P08697</t>
  </si>
  <si>
    <t>P08758</t>
  </si>
  <si>
    <t>P08833</t>
  </si>
  <si>
    <t>P08865</t>
  </si>
  <si>
    <t>P09211</t>
  </si>
  <si>
    <t>P09228</t>
  </si>
  <si>
    <t>P09417-2</t>
  </si>
  <si>
    <t>P09466-2</t>
  </si>
  <si>
    <t>P09467</t>
  </si>
  <si>
    <t>P09486</t>
  </si>
  <si>
    <t>P09497-2</t>
  </si>
  <si>
    <t>P09525</t>
  </si>
  <si>
    <t>P09529</t>
  </si>
  <si>
    <t>P09603</t>
  </si>
  <si>
    <t>P09668</t>
  </si>
  <si>
    <t>P09758</t>
  </si>
  <si>
    <t>P09871</t>
  </si>
  <si>
    <t>P09958</t>
  </si>
  <si>
    <t>P09960-2</t>
  </si>
  <si>
    <t>P09972</t>
  </si>
  <si>
    <t>P0C0L4-2</t>
  </si>
  <si>
    <t>P0C5U4</t>
  </si>
  <si>
    <t>P0DMQ5</t>
  </si>
  <si>
    <t>P0DMV9</t>
  </si>
  <si>
    <t>P0DOX2</t>
  </si>
  <si>
    <t>P0DOX5</t>
  </si>
  <si>
    <t>P0DOX7</t>
  </si>
  <si>
    <t>P0DOX8</t>
  </si>
  <si>
    <t>P0DOY3</t>
  </si>
  <si>
    <t>P0DP09</t>
  </si>
  <si>
    <t>P0DP25</t>
  </si>
  <si>
    <t>P0DP57</t>
  </si>
  <si>
    <t>P10253</t>
  </si>
  <si>
    <t>P10451-5</t>
  </si>
  <si>
    <t>P10586-2</t>
  </si>
  <si>
    <t>P10599</t>
  </si>
  <si>
    <t>P10600</t>
  </si>
  <si>
    <t>P10619-2</t>
  </si>
  <si>
    <t>P10909-4</t>
  </si>
  <si>
    <t>P11021</t>
  </si>
  <si>
    <t>P11047</t>
  </si>
  <si>
    <t>P11142</t>
  </si>
  <si>
    <t>P11279</t>
  </si>
  <si>
    <t>P11684</t>
  </si>
  <si>
    <t>P11717</t>
  </si>
  <si>
    <t>P11908</t>
  </si>
  <si>
    <t>P11940-2</t>
  </si>
  <si>
    <t>P12081-3</t>
  </si>
  <si>
    <t>P12109</t>
  </si>
  <si>
    <t>P12110</t>
  </si>
  <si>
    <t>P12273</t>
  </si>
  <si>
    <t>P12277</t>
  </si>
  <si>
    <t>P12429</t>
  </si>
  <si>
    <t>P12814-2</t>
  </si>
  <si>
    <t>P12821-2</t>
  </si>
  <si>
    <t>P12830</t>
  </si>
  <si>
    <t>P12955-3</t>
  </si>
  <si>
    <t>P13489</t>
  </si>
  <si>
    <t>P13639</t>
  </si>
  <si>
    <t>P13667</t>
  </si>
  <si>
    <t>P13671</t>
  </si>
  <si>
    <t>P13686</t>
  </si>
  <si>
    <t>P13693</t>
  </si>
  <si>
    <t>P13716</t>
  </si>
  <si>
    <t>P13796</t>
  </si>
  <si>
    <t>P13798</t>
  </si>
  <si>
    <t>P13861-2</t>
  </si>
  <si>
    <t>P13987</t>
  </si>
  <si>
    <t>P14174</t>
  </si>
  <si>
    <t>P14314-2</t>
  </si>
  <si>
    <t>P14324-2</t>
  </si>
  <si>
    <t>P14384</t>
  </si>
  <si>
    <t>P14543-2</t>
  </si>
  <si>
    <t>P14550</t>
  </si>
  <si>
    <t>P14555</t>
  </si>
  <si>
    <t>P14618</t>
  </si>
  <si>
    <t>P14625</t>
  </si>
  <si>
    <t>P14778</t>
  </si>
  <si>
    <t>P14780</t>
  </si>
  <si>
    <t>P14923</t>
  </si>
  <si>
    <t>P15121</t>
  </si>
  <si>
    <t>P15144</t>
  </si>
  <si>
    <t>P15151-3</t>
  </si>
  <si>
    <t>P15170</t>
  </si>
  <si>
    <t>P15289</t>
  </si>
  <si>
    <t>P15291-2</t>
  </si>
  <si>
    <t>P15309</t>
  </si>
  <si>
    <t>P15311</t>
  </si>
  <si>
    <t>P15328</t>
  </si>
  <si>
    <t>P15586-2</t>
  </si>
  <si>
    <t>P15692-5</t>
  </si>
  <si>
    <t>P15848</t>
  </si>
  <si>
    <t>P15907</t>
  </si>
  <si>
    <t>P15924</t>
  </si>
  <si>
    <t>P16035</t>
  </si>
  <si>
    <t>P16070-15</t>
  </si>
  <si>
    <t>P16083</t>
  </si>
  <si>
    <t>P16152</t>
  </si>
  <si>
    <t>P16278-2</t>
  </si>
  <si>
    <t>P16403</t>
  </si>
  <si>
    <t>P16442</t>
  </si>
  <si>
    <t>P16671-2</t>
  </si>
  <si>
    <t>P16750</t>
  </si>
  <si>
    <t>P16870-2</t>
  </si>
  <si>
    <t>P16949</t>
  </si>
  <si>
    <t>P17050</t>
  </si>
  <si>
    <t>P17066</t>
  </si>
  <si>
    <t>P17174</t>
  </si>
  <si>
    <t>P17181-2</t>
  </si>
  <si>
    <t>P17213</t>
  </si>
  <si>
    <t>P17405-4</t>
  </si>
  <si>
    <t>P17655</t>
  </si>
  <si>
    <t>P17900</t>
  </si>
  <si>
    <t>P17931</t>
  </si>
  <si>
    <t>P17936</t>
  </si>
  <si>
    <t>P17987</t>
  </si>
  <si>
    <t>P18065</t>
  </si>
  <si>
    <t>P18206-2</t>
  </si>
  <si>
    <t>P18428</t>
  </si>
  <si>
    <t>P18510-4</t>
  </si>
  <si>
    <t>P18621-2</t>
  </si>
  <si>
    <t>P18669</t>
  </si>
  <si>
    <t>P18887</t>
  </si>
  <si>
    <t>P19021-2</t>
  </si>
  <si>
    <t>P19105</t>
  </si>
  <si>
    <t>P19438-5</t>
  </si>
  <si>
    <t>P19440</t>
  </si>
  <si>
    <t>P19623</t>
  </si>
  <si>
    <t>P19652</t>
  </si>
  <si>
    <t>P19801</t>
  </si>
  <si>
    <t>P19827</t>
  </si>
  <si>
    <t>P19835</t>
  </si>
  <si>
    <t>P19883-2</t>
  </si>
  <si>
    <t>P19971</t>
  </si>
  <si>
    <t>P20061</t>
  </si>
  <si>
    <t>P20073-2</t>
  </si>
  <si>
    <t>P20142</t>
  </si>
  <si>
    <t>P20151-2</t>
  </si>
  <si>
    <t>P20155</t>
  </si>
  <si>
    <t>P20160</t>
  </si>
  <si>
    <t>P20618</t>
  </si>
  <si>
    <t>P20700</t>
  </si>
  <si>
    <t>P20810-3</t>
  </si>
  <si>
    <t>P20827</t>
  </si>
  <si>
    <t>P20849-3</t>
  </si>
  <si>
    <t>P20933</t>
  </si>
  <si>
    <t>P20962</t>
  </si>
  <si>
    <t>P21246</t>
  </si>
  <si>
    <t>P21266</t>
  </si>
  <si>
    <t>P21291</t>
  </si>
  <si>
    <t>P21333-2</t>
  </si>
  <si>
    <t>P21579</t>
  </si>
  <si>
    <t>P21589-2</t>
  </si>
  <si>
    <t>P21695-2</t>
  </si>
  <si>
    <t>P21741</t>
  </si>
  <si>
    <t>P21964-2</t>
  </si>
  <si>
    <t>P22059</t>
  </si>
  <si>
    <t>P22061</t>
  </si>
  <si>
    <t>P22079-2</t>
  </si>
  <si>
    <t>P22304</t>
  </si>
  <si>
    <t>P22314-2</t>
  </si>
  <si>
    <t>P22352</t>
  </si>
  <si>
    <t>P22392</t>
  </si>
  <si>
    <t>P22692</t>
  </si>
  <si>
    <t>P22748</t>
  </si>
  <si>
    <t>P22894</t>
  </si>
  <si>
    <t>P22897</t>
  </si>
  <si>
    <t>P23142</t>
  </si>
  <si>
    <t>P23280-3</t>
  </si>
  <si>
    <t>P23284</t>
  </si>
  <si>
    <t>P23352</t>
  </si>
  <si>
    <t>P23381-2</t>
  </si>
  <si>
    <t>P23396</t>
  </si>
  <si>
    <t>P23468</t>
  </si>
  <si>
    <t>P23470-2</t>
  </si>
  <si>
    <t>P23526-2</t>
  </si>
  <si>
    <t>P23528</t>
  </si>
  <si>
    <t>P23588</t>
  </si>
  <si>
    <t>P24158</t>
  </si>
  <si>
    <t>P24592</t>
  </si>
  <si>
    <t>P24593</t>
  </si>
  <si>
    <t>P24666-4</t>
  </si>
  <si>
    <t>P24821-6</t>
  </si>
  <si>
    <t>P24855</t>
  </si>
  <si>
    <t>P25311</t>
  </si>
  <si>
    <t>P25398</t>
  </si>
  <si>
    <t>P25686-2</t>
  </si>
  <si>
    <t>P25774</t>
  </si>
  <si>
    <t>P25786</t>
  </si>
  <si>
    <t>P25787</t>
  </si>
  <si>
    <t>P25788-2</t>
  </si>
  <si>
    <t>P25789</t>
  </si>
  <si>
    <t>P25815</t>
  </si>
  <si>
    <t>P26038</t>
  </si>
  <si>
    <t>P26373</t>
  </si>
  <si>
    <t>P26447</t>
  </si>
  <si>
    <t>P26572</t>
  </si>
  <si>
    <t>P26641</t>
  </si>
  <si>
    <t>P26885</t>
  </si>
  <si>
    <t>P27169</t>
  </si>
  <si>
    <t>P27216</t>
  </si>
  <si>
    <t>P27469</t>
  </si>
  <si>
    <t>P27487</t>
  </si>
  <si>
    <t>P27658</t>
  </si>
  <si>
    <t>P27797</t>
  </si>
  <si>
    <t>P27824-3</t>
  </si>
  <si>
    <t>P28062-2</t>
  </si>
  <si>
    <t>P28065-2</t>
  </si>
  <si>
    <t>P28066</t>
  </si>
  <si>
    <t>P28070</t>
  </si>
  <si>
    <t>P28072</t>
  </si>
  <si>
    <t>P28290-2</t>
  </si>
  <si>
    <t>P28799</t>
  </si>
  <si>
    <t>P28827</t>
  </si>
  <si>
    <t>P28838-2</t>
  </si>
  <si>
    <t>P28907</t>
  </si>
  <si>
    <t>P29218</t>
  </si>
  <si>
    <t>P29401</t>
  </si>
  <si>
    <t>P29622</t>
  </si>
  <si>
    <t>P29692-3</t>
  </si>
  <si>
    <t>P30040</t>
  </si>
  <si>
    <t>P30041</t>
  </si>
  <si>
    <t>P30043</t>
  </si>
  <si>
    <t>P30044-2</t>
  </si>
  <si>
    <t>P30046-2</t>
  </si>
  <si>
    <t>P30048-2</t>
  </si>
  <si>
    <t>P30085</t>
  </si>
  <si>
    <t>P30086</t>
  </si>
  <si>
    <t>P30101</t>
  </si>
  <si>
    <t>P30419-2</t>
  </si>
  <si>
    <t>P30492</t>
  </si>
  <si>
    <t>P30520</t>
  </si>
  <si>
    <t>P30533</t>
  </si>
  <si>
    <t>P30622-2</t>
  </si>
  <si>
    <t>P30626-3</t>
  </si>
  <si>
    <t>P30740</t>
  </si>
  <si>
    <t>P31025</t>
  </si>
  <si>
    <t>P31146</t>
  </si>
  <si>
    <t>P31151</t>
  </si>
  <si>
    <t>P31153</t>
  </si>
  <si>
    <t>P31431-2</t>
  </si>
  <si>
    <t>P31939-2</t>
  </si>
  <si>
    <t>P31942-6</t>
  </si>
  <si>
    <t>P31944</t>
  </si>
  <si>
    <t>P31946-2</t>
  </si>
  <si>
    <t>P31947-2</t>
  </si>
  <si>
    <t>P31948</t>
  </si>
  <si>
    <t>P31949</t>
  </si>
  <si>
    <t>P32119</t>
  </si>
  <si>
    <t>P32321</t>
  </si>
  <si>
    <t>P33176</t>
  </si>
  <si>
    <t>P33240-2</t>
  </si>
  <si>
    <t>P34059</t>
  </si>
  <si>
    <t>P34096</t>
  </si>
  <si>
    <t>P34913-3</t>
  </si>
  <si>
    <t>P34932</t>
  </si>
  <si>
    <t>P35052</t>
  </si>
  <si>
    <t>P35237</t>
  </si>
  <si>
    <t>P35241</t>
  </si>
  <si>
    <t>P35270</t>
  </si>
  <si>
    <t>P35398-4</t>
  </si>
  <si>
    <t>P35443</t>
  </si>
  <si>
    <t>P35475</t>
  </si>
  <si>
    <t>P35579</t>
  </si>
  <si>
    <t>P35580</t>
  </si>
  <si>
    <t>P35625</t>
  </si>
  <si>
    <t>P35754</t>
  </si>
  <si>
    <t>P35813</t>
  </si>
  <si>
    <t>P35858</t>
  </si>
  <si>
    <t>P35998</t>
  </si>
  <si>
    <t>P36578</t>
  </si>
  <si>
    <t>P36871-3</t>
  </si>
  <si>
    <t>P36896-5</t>
  </si>
  <si>
    <t>P36952-2</t>
  </si>
  <si>
    <t>P36955</t>
  </si>
  <si>
    <t>P36959</t>
  </si>
  <si>
    <t>P36980-2</t>
  </si>
  <si>
    <t>P37108</t>
  </si>
  <si>
    <t>P37802</t>
  </si>
  <si>
    <t>P37837</t>
  </si>
  <si>
    <t>P39060-2</t>
  </si>
  <si>
    <t>P40121-2</t>
  </si>
  <si>
    <t>P40189</t>
  </si>
  <si>
    <t>P40227-2</t>
  </si>
  <si>
    <t>P40925</t>
  </si>
  <si>
    <t>P40926-2</t>
  </si>
  <si>
    <t>P41091</t>
  </si>
  <si>
    <t>P41218</t>
  </si>
  <si>
    <t>P41222</t>
  </si>
  <si>
    <t>P42330-2</t>
  </si>
  <si>
    <t>P42566-2</t>
  </si>
  <si>
    <t>P42702</t>
  </si>
  <si>
    <t>P42766</t>
  </si>
  <si>
    <t>P42785</t>
  </si>
  <si>
    <t>P43251-4</t>
  </si>
  <si>
    <t>P43490</t>
  </si>
  <si>
    <t>P43652</t>
  </si>
  <si>
    <t>P45877</t>
  </si>
  <si>
    <t>P46108-2</t>
  </si>
  <si>
    <t>P46109</t>
  </si>
  <si>
    <t>P46459-2</t>
  </si>
  <si>
    <t>P46783</t>
  </si>
  <si>
    <t>P46926</t>
  </si>
  <si>
    <t>P46940</t>
  </si>
  <si>
    <t>P46976-3</t>
  </si>
  <si>
    <t>P47710-4</t>
  </si>
  <si>
    <t>P47755</t>
  </si>
  <si>
    <t>P47756-2</t>
  </si>
  <si>
    <t>P47895</t>
  </si>
  <si>
    <t>P47914</t>
  </si>
  <si>
    <t>P47929</t>
  </si>
  <si>
    <t>P47972</t>
  </si>
  <si>
    <t>P47989</t>
  </si>
  <si>
    <t>P48059</t>
  </si>
  <si>
    <t>P48307-2</t>
  </si>
  <si>
    <t>P48594</t>
  </si>
  <si>
    <t>P48634-4</t>
  </si>
  <si>
    <t>P48637</t>
  </si>
  <si>
    <t>P48723</t>
  </si>
  <si>
    <t>P48745</t>
  </si>
  <si>
    <t>P49189-2</t>
  </si>
  <si>
    <t>P49221</t>
  </si>
  <si>
    <t>P49223</t>
  </si>
  <si>
    <t>P49327</t>
  </si>
  <si>
    <t>P49354-2</t>
  </si>
  <si>
    <t>P49368-2</t>
  </si>
  <si>
    <t>P49419-2</t>
  </si>
  <si>
    <t>P49591</t>
  </si>
  <si>
    <t>P49755</t>
  </si>
  <si>
    <t>P49765-2</t>
  </si>
  <si>
    <t>P49773</t>
  </si>
  <si>
    <t>P49788-2</t>
  </si>
  <si>
    <t>P49908</t>
  </si>
  <si>
    <t>P50281</t>
  </si>
  <si>
    <t>P50395</t>
  </si>
  <si>
    <t>P50502</t>
  </si>
  <si>
    <t>P50552</t>
  </si>
  <si>
    <t>P50570-5</t>
  </si>
  <si>
    <t>P50591</t>
  </si>
  <si>
    <t>P50895</t>
  </si>
  <si>
    <t>P50897</t>
  </si>
  <si>
    <t>P50990-2</t>
  </si>
  <si>
    <t>P50991-2</t>
  </si>
  <si>
    <t>P50995-2</t>
  </si>
  <si>
    <t>P51148</t>
  </si>
  <si>
    <t>P51149</t>
  </si>
  <si>
    <t>P51159-2</t>
  </si>
  <si>
    <t>P51452-2</t>
  </si>
  <si>
    <t>P51511</t>
  </si>
  <si>
    <t>P51688</t>
  </si>
  <si>
    <t>P51815</t>
  </si>
  <si>
    <t>P52209-2</t>
  </si>
  <si>
    <t>P52565</t>
  </si>
  <si>
    <t>P52566</t>
  </si>
  <si>
    <t>P52758</t>
  </si>
  <si>
    <t>P52788</t>
  </si>
  <si>
    <t>P52799</t>
  </si>
  <si>
    <t>P52823-2</t>
  </si>
  <si>
    <t>P52907</t>
  </si>
  <si>
    <t>P52943</t>
  </si>
  <si>
    <t>P53004</t>
  </si>
  <si>
    <t>P53367</t>
  </si>
  <si>
    <t>P53396-2</t>
  </si>
  <si>
    <t>P53634</t>
  </si>
  <si>
    <t>P53801</t>
  </si>
  <si>
    <t>P54107</t>
  </si>
  <si>
    <t>P54108</t>
  </si>
  <si>
    <t>P54289-4</t>
  </si>
  <si>
    <t>P54578-2</t>
  </si>
  <si>
    <t>P54725-2</t>
  </si>
  <si>
    <t>P54727</t>
  </si>
  <si>
    <t>P54756-2</t>
  </si>
  <si>
    <t>P54760-4</t>
  </si>
  <si>
    <t>P54802</t>
  </si>
  <si>
    <t>P54819-3</t>
  </si>
  <si>
    <t>P54826</t>
  </si>
  <si>
    <t>P54920</t>
  </si>
  <si>
    <t>P55036-2</t>
  </si>
  <si>
    <t>P55058-3</t>
  </si>
  <si>
    <t>P55072</t>
  </si>
  <si>
    <t>P55145</t>
  </si>
  <si>
    <t>P55209-3</t>
  </si>
  <si>
    <t>P55259-3</t>
  </si>
  <si>
    <t>P55268</t>
  </si>
  <si>
    <t>P55327-2</t>
  </si>
  <si>
    <t>P55786</t>
  </si>
  <si>
    <t>P55957</t>
  </si>
  <si>
    <t>P56851</t>
  </si>
  <si>
    <t>P58499</t>
  </si>
  <si>
    <t>P58546</t>
  </si>
  <si>
    <t>P59666</t>
  </si>
  <si>
    <t>P59861</t>
  </si>
  <si>
    <t>P59998-4</t>
  </si>
  <si>
    <t>P60022</t>
  </si>
  <si>
    <t>P60028</t>
  </si>
  <si>
    <t>P60174-1</t>
  </si>
  <si>
    <t>P60660-2</t>
  </si>
  <si>
    <t>P60842</t>
  </si>
  <si>
    <t>P60900</t>
  </si>
  <si>
    <t>P60903</t>
  </si>
  <si>
    <t>P60953-1</t>
  </si>
  <si>
    <t>P61020</t>
  </si>
  <si>
    <t>P61088</t>
  </si>
  <si>
    <t>P61163</t>
  </si>
  <si>
    <t>P61457</t>
  </si>
  <si>
    <t>P61604</t>
  </si>
  <si>
    <t>P61626</t>
  </si>
  <si>
    <t>P61769</t>
  </si>
  <si>
    <t>P61916</t>
  </si>
  <si>
    <t>P61923-5</t>
  </si>
  <si>
    <t>P61956-2</t>
  </si>
  <si>
    <t>P61960</t>
  </si>
  <si>
    <t>P61970</t>
  </si>
  <si>
    <t>P61981</t>
  </si>
  <si>
    <t>P62195-2</t>
  </si>
  <si>
    <t>P62249</t>
  </si>
  <si>
    <t>P62258</t>
  </si>
  <si>
    <t>P62263</t>
  </si>
  <si>
    <t>P62280</t>
  </si>
  <si>
    <t>P62310</t>
  </si>
  <si>
    <t>P62328</t>
  </si>
  <si>
    <t>P62491-2</t>
  </si>
  <si>
    <t>P62495-2</t>
  </si>
  <si>
    <t>P62633-2</t>
  </si>
  <si>
    <t>P62805</t>
  </si>
  <si>
    <t>P62820-3</t>
  </si>
  <si>
    <t>P62857</t>
  </si>
  <si>
    <t>P62861</t>
  </si>
  <si>
    <t>P62888</t>
  </si>
  <si>
    <t>P62913-2</t>
  </si>
  <si>
    <t>P62937</t>
  </si>
  <si>
    <t>P62942</t>
  </si>
  <si>
    <t>P62987</t>
  </si>
  <si>
    <t>P63000</t>
  </si>
  <si>
    <t>P63010-3</t>
  </si>
  <si>
    <t>P63104</t>
  </si>
  <si>
    <t>P63173</t>
  </si>
  <si>
    <t>P63208</t>
  </si>
  <si>
    <t>P63220</t>
  </si>
  <si>
    <t>P63241</t>
  </si>
  <si>
    <t>P63244</t>
  </si>
  <si>
    <t>P63261</t>
  </si>
  <si>
    <t>P63267</t>
  </si>
  <si>
    <t>P67809</t>
  </si>
  <si>
    <t>P67936-2</t>
  </si>
  <si>
    <t>P68366-2</t>
  </si>
  <si>
    <t>P68402-3</t>
  </si>
  <si>
    <t>P68871</t>
  </si>
  <si>
    <t>P78371-2</t>
  </si>
  <si>
    <t>P78417</t>
  </si>
  <si>
    <t>P78537-2</t>
  </si>
  <si>
    <t>P78539-4</t>
  </si>
  <si>
    <t>P80162</t>
  </si>
  <si>
    <t>P80188</t>
  </si>
  <si>
    <t>P80303</t>
  </si>
  <si>
    <t>P80511</t>
  </si>
  <si>
    <t>P80723</t>
  </si>
  <si>
    <t>P81605</t>
  </si>
  <si>
    <t>P81605-2</t>
  </si>
  <si>
    <t>P83731</t>
  </si>
  <si>
    <t>P98095</t>
  </si>
  <si>
    <t>P98160</t>
  </si>
  <si>
    <t>P98172</t>
  </si>
  <si>
    <t>Q00688</t>
  </si>
  <si>
    <t>Q00796</t>
  </si>
  <si>
    <t>Q01082</t>
  </si>
  <si>
    <t>Q01459</t>
  </si>
  <si>
    <t>Q01469</t>
  </si>
  <si>
    <t>Q01518-2</t>
  </si>
  <si>
    <t>Q01638-2</t>
  </si>
  <si>
    <t>Q01974</t>
  </si>
  <si>
    <t>Q02083-2</t>
  </si>
  <si>
    <t>Q02383</t>
  </si>
  <si>
    <t>Q02413</t>
  </si>
  <si>
    <t>Q02487-2</t>
  </si>
  <si>
    <t>Q02790</t>
  </si>
  <si>
    <t>Q02809</t>
  </si>
  <si>
    <t>Q02818</t>
  </si>
  <si>
    <t>Q02878</t>
  </si>
  <si>
    <t>Q03167-2</t>
  </si>
  <si>
    <t>Q03393</t>
  </si>
  <si>
    <t>Q03405-2</t>
  </si>
  <si>
    <t>Q03591</t>
  </si>
  <si>
    <t>Q04609-6</t>
  </si>
  <si>
    <t>Q04637-6</t>
  </si>
  <si>
    <t>Q04756</t>
  </si>
  <si>
    <t>Q04760-2</t>
  </si>
  <si>
    <t>Q04771</t>
  </si>
  <si>
    <t>Q04917</t>
  </si>
  <si>
    <t>Q05397-6</t>
  </si>
  <si>
    <t>Q06210-2</t>
  </si>
  <si>
    <t>Q06323-3</t>
  </si>
  <si>
    <t>Q06481-4</t>
  </si>
  <si>
    <t>Q06828</t>
  </si>
  <si>
    <t>Q06830</t>
  </si>
  <si>
    <t>Q07020-2</t>
  </si>
  <si>
    <t>Q07654</t>
  </si>
  <si>
    <t>Q07812-5</t>
  </si>
  <si>
    <t>Q08174</t>
  </si>
  <si>
    <t>Q08209-4</t>
  </si>
  <si>
    <t>Q08257-3</t>
  </si>
  <si>
    <t>Q08345-2</t>
  </si>
  <si>
    <t>Q08378-4</t>
  </si>
  <si>
    <t>Q08380</t>
  </si>
  <si>
    <t>Q08554-2</t>
  </si>
  <si>
    <t>Q08629</t>
  </si>
  <si>
    <t>Q09666</t>
  </si>
  <si>
    <t>Q10469</t>
  </si>
  <si>
    <t>Q10471</t>
  </si>
  <si>
    <t>Q10472</t>
  </si>
  <si>
    <t>Q10567-3</t>
  </si>
  <si>
    <t>Q12792-4</t>
  </si>
  <si>
    <t>Q12805-2</t>
  </si>
  <si>
    <t>Q12841</t>
  </si>
  <si>
    <t>Q12866</t>
  </si>
  <si>
    <t>Q12882-2</t>
  </si>
  <si>
    <t>Q12907</t>
  </si>
  <si>
    <t>Q12913-2</t>
  </si>
  <si>
    <t>Q12965</t>
  </si>
  <si>
    <t>Q13045-2</t>
  </si>
  <si>
    <t>Q13126-7</t>
  </si>
  <si>
    <t>Q13162</t>
  </si>
  <si>
    <t>Q13214-2</t>
  </si>
  <si>
    <t>Q13217</t>
  </si>
  <si>
    <t>Q13228</t>
  </si>
  <si>
    <t>Q13231-2</t>
  </si>
  <si>
    <t>Q13232</t>
  </si>
  <si>
    <t>Q13237-2</t>
  </si>
  <si>
    <t>Q13275</t>
  </si>
  <si>
    <t>Q13308-5</t>
  </si>
  <si>
    <t>Q13332-6</t>
  </si>
  <si>
    <t>Q13404</t>
  </si>
  <si>
    <t>Q13421</t>
  </si>
  <si>
    <t>Q13421-4</t>
  </si>
  <si>
    <t>Q13438</t>
  </si>
  <si>
    <t>Q13442</t>
  </si>
  <si>
    <t>Q13443-2</t>
  </si>
  <si>
    <t>Q13444-10</t>
  </si>
  <si>
    <t>Q13449</t>
  </si>
  <si>
    <t>Q13510</t>
  </si>
  <si>
    <t>Q13561</t>
  </si>
  <si>
    <t>Q13740-2</t>
  </si>
  <si>
    <t>Q13813-3</t>
  </si>
  <si>
    <t>Q13938-3</t>
  </si>
  <si>
    <t>Q14005-4</t>
  </si>
  <si>
    <t>Q14008-2</t>
  </si>
  <si>
    <t>Q14019</t>
  </si>
  <si>
    <t>Q14055</t>
  </si>
  <si>
    <t>Q14112-2</t>
  </si>
  <si>
    <t>Q14118</t>
  </si>
  <si>
    <t>Q14126</t>
  </si>
  <si>
    <t>Q14195</t>
  </si>
  <si>
    <t>Q14240</t>
  </si>
  <si>
    <t>Q14247-3</t>
  </si>
  <si>
    <t>Q14314</t>
  </si>
  <si>
    <t>Q14393-3</t>
  </si>
  <si>
    <t>Q14507</t>
  </si>
  <si>
    <t>Q14508</t>
  </si>
  <si>
    <t>Q14515-2</t>
  </si>
  <si>
    <t>Q14574-2</t>
  </si>
  <si>
    <t>Q14624-4</t>
  </si>
  <si>
    <t>Q14689-3</t>
  </si>
  <si>
    <t>Q14697</t>
  </si>
  <si>
    <t>Q14766-2</t>
  </si>
  <si>
    <t>Q14847</t>
  </si>
  <si>
    <t>Q14914-2</t>
  </si>
  <si>
    <t>Q14974</t>
  </si>
  <si>
    <t>Q15008</t>
  </si>
  <si>
    <t>Q15056-2</t>
  </si>
  <si>
    <t>Q15075</t>
  </si>
  <si>
    <t>Q15084-3</t>
  </si>
  <si>
    <t>Q15113</t>
  </si>
  <si>
    <t>Q15121</t>
  </si>
  <si>
    <t>Q15149-7</t>
  </si>
  <si>
    <t>Q15166</t>
  </si>
  <si>
    <t>Q15185-3</t>
  </si>
  <si>
    <t>Q15223-3</t>
  </si>
  <si>
    <t>Q15257-4</t>
  </si>
  <si>
    <t>Q15293</t>
  </si>
  <si>
    <t>Q15311</t>
  </si>
  <si>
    <t>Q15365</t>
  </si>
  <si>
    <t>Q15389-2</t>
  </si>
  <si>
    <t>Q15404-2</t>
  </si>
  <si>
    <t>Q15517</t>
  </si>
  <si>
    <t>Q15631</t>
  </si>
  <si>
    <t>Q15691</t>
  </si>
  <si>
    <t>Q15819</t>
  </si>
  <si>
    <t>Q15828</t>
  </si>
  <si>
    <t>Q15843</t>
  </si>
  <si>
    <t>Q15847</t>
  </si>
  <si>
    <t>Q15904</t>
  </si>
  <si>
    <t>Q16204</t>
  </si>
  <si>
    <t>Q16270-2</t>
  </si>
  <si>
    <t>Q16378</t>
  </si>
  <si>
    <t>Q16531</t>
  </si>
  <si>
    <t>Q16543</t>
  </si>
  <si>
    <t>Q16568</t>
  </si>
  <si>
    <t>Q16610</t>
  </si>
  <si>
    <t>Q16651</t>
  </si>
  <si>
    <t>Q16706</t>
  </si>
  <si>
    <t>Q16769-2</t>
  </si>
  <si>
    <t>Q16851-2</t>
  </si>
  <si>
    <t>Q16881-7</t>
  </si>
  <si>
    <t>Q16890-4</t>
  </si>
  <si>
    <t>Q1W4C9</t>
  </si>
  <si>
    <t>Q24JP5</t>
  </si>
  <si>
    <t>Q29963</t>
  </si>
  <si>
    <t>Q2KJY2-2</t>
  </si>
  <si>
    <t>Q2M2I8-2</t>
  </si>
  <si>
    <t>Q3YEC7</t>
  </si>
  <si>
    <t>Q495W5-2</t>
  </si>
  <si>
    <t>Q53FA7</t>
  </si>
  <si>
    <t>Q53H76-4</t>
  </si>
  <si>
    <t>Q53RD9-4</t>
  </si>
  <si>
    <t>Q53T59</t>
  </si>
  <si>
    <t>Q58EX2-2</t>
  </si>
  <si>
    <t>Q5GFL6-3</t>
  </si>
  <si>
    <t>Q5IS74</t>
  </si>
  <si>
    <t>Q5IS80</t>
  </si>
  <si>
    <t>Q5JPE7-3</t>
  </si>
  <si>
    <t>Q5JRA6-2</t>
  </si>
  <si>
    <t>Q5JS37-2</t>
  </si>
  <si>
    <t>Q5KU26</t>
  </si>
  <si>
    <t>Q5SRE7-2</t>
  </si>
  <si>
    <t>Q5T749</t>
  </si>
  <si>
    <t>Q5TDH0</t>
  </si>
  <si>
    <t>Q5TZA2-2</t>
  </si>
  <si>
    <t>Q5VTE0</t>
  </si>
  <si>
    <t>Q5ZPR3-2</t>
  </si>
  <si>
    <t>Q66GS9</t>
  </si>
  <si>
    <t>Q66K79-2</t>
  </si>
  <si>
    <t>Q68D85</t>
  </si>
  <si>
    <t>Q6AI12</t>
  </si>
  <si>
    <t>Q6DN90-2</t>
  </si>
  <si>
    <t>Q6EMK4</t>
  </si>
  <si>
    <t>Q6GYQ0-3</t>
  </si>
  <si>
    <t>Q6IPM2-4</t>
  </si>
  <si>
    <t>Q6NUS6-2</t>
  </si>
  <si>
    <t>Q6NW40</t>
  </si>
  <si>
    <t>Q6NXT2</t>
  </si>
  <si>
    <t>Q6P4E1-2</t>
  </si>
  <si>
    <t>Q6P531-2</t>
  </si>
  <si>
    <t>Q6P5S2</t>
  </si>
  <si>
    <t>Q6PCB0</t>
  </si>
  <si>
    <t>Q6TDU7-4</t>
  </si>
  <si>
    <t>Q6ULP2-5</t>
  </si>
  <si>
    <t>Q6UWP8</t>
  </si>
  <si>
    <t>Q6UWW0</t>
  </si>
  <si>
    <t>Q6UX06</t>
  </si>
  <si>
    <t>Q6UX71-2</t>
  </si>
  <si>
    <t>Q6UXD5-6</t>
  </si>
  <si>
    <t>Q6UXI9</t>
  </si>
  <si>
    <t>Q6UXK5</t>
  </si>
  <si>
    <t>Q6UXY1-2</t>
  </si>
  <si>
    <t>Q6UY27</t>
  </si>
  <si>
    <t>Q6W4X9</t>
  </si>
  <si>
    <t>Q6WN34</t>
  </si>
  <si>
    <t>Q6XQN6</t>
  </si>
  <si>
    <t>Q6Y7W6-4</t>
  </si>
  <si>
    <t>Q6YHK3</t>
  </si>
  <si>
    <t>Q6ZMP0</t>
  </si>
  <si>
    <t>Q6ZRQ5</t>
  </si>
  <si>
    <t>Q6ZSR9</t>
  </si>
  <si>
    <t>Q6ZSS7</t>
  </si>
  <si>
    <t>Q6ZVM7-4</t>
  </si>
  <si>
    <t>Q71U36-2</t>
  </si>
  <si>
    <t>Q7L1Q6-2</t>
  </si>
  <si>
    <t>Q7L266</t>
  </si>
  <si>
    <t>Q7L3B6</t>
  </si>
  <si>
    <t>Q7L5N1</t>
  </si>
  <si>
    <t>Q7L804</t>
  </si>
  <si>
    <t>Q7Z304</t>
  </si>
  <si>
    <t>Q7Z4H3-2</t>
  </si>
  <si>
    <t>Q7Z4W1</t>
  </si>
  <si>
    <t>Q7Z7H5-3</t>
  </si>
  <si>
    <t>Q7Z7M0-2</t>
  </si>
  <si>
    <t>Q80910</t>
  </si>
  <si>
    <t>Q86194</t>
  </si>
  <si>
    <t>Q86SQ4-2</t>
  </si>
  <si>
    <t>Q86TH1</t>
  </si>
  <si>
    <t>Q86UD1</t>
  </si>
  <si>
    <t>Q86UN2</t>
  </si>
  <si>
    <t>Q86UP2-2</t>
  </si>
  <si>
    <t>Q86V85</t>
  </si>
  <si>
    <t>Q86VR7</t>
  </si>
  <si>
    <t>Q86VY4</t>
  </si>
  <si>
    <t>Q86VZ4</t>
  </si>
  <si>
    <t>Q86X29-6</t>
  </si>
  <si>
    <t>Q86XR7-2</t>
  </si>
  <si>
    <t>Q86Y38</t>
  </si>
  <si>
    <t>Q86Y82</t>
  </si>
  <si>
    <t>Q8IV08</t>
  </si>
  <si>
    <t>Q8IVN8</t>
  </si>
  <si>
    <t>Q8IW75</t>
  </si>
  <si>
    <t>Q8IYB5-3</t>
  </si>
  <si>
    <t>Q8IYJ3</t>
  </si>
  <si>
    <t>Q8IZA0-2</t>
  </si>
  <si>
    <t>Q8IZJ3-2</t>
  </si>
  <si>
    <t>Q8IZP9-10</t>
  </si>
  <si>
    <t>Q8N0X7</t>
  </si>
  <si>
    <t>Q8N114-2</t>
  </si>
  <si>
    <t>Q8N264-5</t>
  </si>
  <si>
    <t>Q8N2S1-2</t>
  </si>
  <si>
    <t>Q8N335</t>
  </si>
  <si>
    <t>Q8N3T6</t>
  </si>
  <si>
    <t>Q8N474</t>
  </si>
  <si>
    <t>Q8N4F0</t>
  </si>
  <si>
    <t>Q8N4V2</t>
  </si>
  <si>
    <t>Q8N4X5-2</t>
  </si>
  <si>
    <t>Q8N6G6</t>
  </si>
  <si>
    <t>Q8N6Q3</t>
  </si>
  <si>
    <t>Q8NBJ4-2</t>
  </si>
  <si>
    <t>Q8NBL1</t>
  </si>
  <si>
    <t>Q8NBS9-2</t>
  </si>
  <si>
    <t>Q8NCC3</t>
  </si>
  <si>
    <t>Q8NCH0</t>
  </si>
  <si>
    <t>Q8NCL4</t>
  </si>
  <si>
    <t>Q8NFT8</t>
  </si>
  <si>
    <t>Q8NFZ8</t>
  </si>
  <si>
    <t>Q8NHP8-2</t>
  </si>
  <si>
    <t>Q8QPI8</t>
  </si>
  <si>
    <t>Q8TB96</t>
  </si>
  <si>
    <t>Q8TBX8-2</t>
  </si>
  <si>
    <t>Q8TD19</t>
  </si>
  <si>
    <t>Q8TE56</t>
  </si>
  <si>
    <t>Q8TE68-4</t>
  </si>
  <si>
    <t>Q8TE73</t>
  </si>
  <si>
    <t>Q8TE96-2</t>
  </si>
  <si>
    <t>Q8TEA8</t>
  </si>
  <si>
    <t>Q8TED9-4</t>
  </si>
  <si>
    <t>Q8TER0-5</t>
  </si>
  <si>
    <t>Q8TF72</t>
  </si>
  <si>
    <t>Q8TF74</t>
  </si>
  <si>
    <t>Q8WUD1-2</t>
  </si>
  <si>
    <t>Q8WUM4</t>
  </si>
  <si>
    <t>Q8WUW1</t>
  </si>
  <si>
    <t>Q8WVQ1-3</t>
  </si>
  <si>
    <t>Q8WWX9</t>
  </si>
  <si>
    <t>Q8WWY7</t>
  </si>
  <si>
    <t>Q8WX77</t>
  </si>
  <si>
    <t>Q8WXA2</t>
  </si>
  <si>
    <t>Q8WXH0-7</t>
  </si>
  <si>
    <t>Q8WZ42-6</t>
  </si>
  <si>
    <t>Q8WZA0</t>
  </si>
  <si>
    <t>Q8WZA9</t>
  </si>
  <si>
    <t>Q92484-2</t>
  </si>
  <si>
    <t>Q92485-2</t>
  </si>
  <si>
    <t>Q92520</t>
  </si>
  <si>
    <t>Q92542-2</t>
  </si>
  <si>
    <t>Q92552</t>
  </si>
  <si>
    <t>Q92597-3</t>
  </si>
  <si>
    <t>Q92598-2</t>
  </si>
  <si>
    <t>Q92626-2</t>
  </si>
  <si>
    <t>Q92673</t>
  </si>
  <si>
    <t>Q92692-2</t>
  </si>
  <si>
    <t>Q92729-3</t>
  </si>
  <si>
    <t>Q92743</t>
  </si>
  <si>
    <t>Q92793-2</t>
  </si>
  <si>
    <t>Q92823-3</t>
  </si>
  <si>
    <t>Q92832-2</t>
  </si>
  <si>
    <t>Q92838-9</t>
  </si>
  <si>
    <t>Q92859-3</t>
  </si>
  <si>
    <t>Q92896</t>
  </si>
  <si>
    <t>Q92956</t>
  </si>
  <si>
    <t>Q92995-2</t>
  </si>
  <si>
    <t>Q93052</t>
  </si>
  <si>
    <t>Q93099</t>
  </si>
  <si>
    <t>Q969H8</t>
  </si>
  <si>
    <t>Q96AE7-2</t>
  </si>
  <si>
    <t>Q96AQ6-2</t>
  </si>
  <si>
    <t>Q96AT9-4</t>
  </si>
  <si>
    <t>Q96BA8-2</t>
  </si>
  <si>
    <t>Q96BQ1</t>
  </si>
  <si>
    <t>Q96C19</t>
  </si>
  <si>
    <t>Q96CN7</t>
  </si>
  <si>
    <t>Q96CT7</t>
  </si>
  <si>
    <t>Q96DA0</t>
  </si>
  <si>
    <t>Q96DD7</t>
  </si>
  <si>
    <t>Q96DR5</t>
  </si>
  <si>
    <t>Q96DR8</t>
  </si>
  <si>
    <t>Q96DZ1-2</t>
  </si>
  <si>
    <t>Q96EK6</t>
  </si>
  <si>
    <t>Q96EU7</t>
  </si>
  <si>
    <t>Q96FE7-4</t>
  </si>
  <si>
    <t>Q96GW7-2</t>
  </si>
  <si>
    <t>Q96HC4</t>
  </si>
  <si>
    <t>Q96HD1</t>
  </si>
  <si>
    <t>Q96JA1-2</t>
  </si>
  <si>
    <t>Q96JB6</t>
  </si>
  <si>
    <t>Q96K76-4</t>
  </si>
  <si>
    <t>Q96KG7-2</t>
  </si>
  <si>
    <t>Q96KP4</t>
  </si>
  <si>
    <t>Q96KR4-2</t>
  </si>
  <si>
    <t>Q96M27-4</t>
  </si>
  <si>
    <t>Q96N03</t>
  </si>
  <si>
    <t>Q96NY8</t>
  </si>
  <si>
    <t>Q96PD2</t>
  </si>
  <si>
    <t>Q96S96</t>
  </si>
  <si>
    <t>Q96TA1-2</t>
  </si>
  <si>
    <t>Q99460-2</t>
  </si>
  <si>
    <t>Q99497</t>
  </si>
  <si>
    <t>Q99519</t>
  </si>
  <si>
    <t>Q99523</t>
  </si>
  <si>
    <t>Q99536</t>
  </si>
  <si>
    <t>Q99538</t>
  </si>
  <si>
    <t>Q99574</t>
  </si>
  <si>
    <t>Q99613-2</t>
  </si>
  <si>
    <t>Q99674</t>
  </si>
  <si>
    <t>Q99715-4</t>
  </si>
  <si>
    <t>Q99727</t>
  </si>
  <si>
    <t>Q99733</t>
  </si>
  <si>
    <t>Q99784-5</t>
  </si>
  <si>
    <t>Q99832-3</t>
  </si>
  <si>
    <t>Q99880</t>
  </si>
  <si>
    <t>Q99961-3</t>
  </si>
  <si>
    <t>Q99969</t>
  </si>
  <si>
    <t>Q99985</t>
  </si>
  <si>
    <t>Q99988</t>
  </si>
  <si>
    <t>Q9BPX5</t>
  </si>
  <si>
    <t>Q9BQ16-7</t>
  </si>
  <si>
    <t>Q9BQ16-8</t>
  </si>
  <si>
    <t>Q9BQI0-3</t>
  </si>
  <si>
    <t>Q9BQR3</t>
  </si>
  <si>
    <t>Q9BQT9</t>
  </si>
  <si>
    <t>Q9BR76</t>
  </si>
  <si>
    <t>Q9BRA2</t>
  </si>
  <si>
    <t>Q9BRH9</t>
  </si>
  <si>
    <t>Q9BRK5-6</t>
  </si>
  <si>
    <t>Q9BRP8-2</t>
  </si>
  <si>
    <t>Q9BRR6-5</t>
  </si>
  <si>
    <t>Q9BRV8</t>
  </si>
  <si>
    <t>Q9BS26</t>
  </si>
  <si>
    <t>Q9BS40</t>
  </si>
  <si>
    <t>Q9BSG0</t>
  </si>
  <si>
    <t>Q9BSK1-2</t>
  </si>
  <si>
    <t>Q9BTY2-2</t>
  </si>
  <si>
    <t>Q9BUD6</t>
  </si>
  <si>
    <t>Q9BUP0</t>
  </si>
  <si>
    <t>Q9BUQ8</t>
  </si>
  <si>
    <t>Q9BUT1-3</t>
  </si>
  <si>
    <t>Q9BV57</t>
  </si>
  <si>
    <t>Q9BVG4</t>
  </si>
  <si>
    <t>Q9BW04</t>
  </si>
  <si>
    <t>Q9BW91-2</t>
  </si>
  <si>
    <t>Q9BWD1</t>
  </si>
  <si>
    <t>Q9BWS9-3</t>
  </si>
  <si>
    <t>Q9BXV9</t>
  </si>
  <si>
    <t>Q9BY43</t>
  </si>
  <si>
    <t>Q9BY67-2</t>
  </si>
  <si>
    <t>Q9BYZ8</t>
  </si>
  <si>
    <t>Q9BZR6</t>
  </si>
  <si>
    <t>Q9C005</t>
  </si>
  <si>
    <t>Q9C0C2</t>
  </si>
  <si>
    <t>Q9GZM7-3</t>
  </si>
  <si>
    <t>Q9GZN4</t>
  </si>
  <si>
    <t>Q9GZP0-2</t>
  </si>
  <si>
    <t>Q9GZX9</t>
  </si>
  <si>
    <t>Q9GZZ8</t>
  </si>
  <si>
    <t>Q9H008</t>
  </si>
  <si>
    <t>Q9H074-3</t>
  </si>
  <si>
    <t>Q9H098</t>
  </si>
  <si>
    <t>Q9H0B8</t>
  </si>
  <si>
    <t>Q9H0E2</t>
  </si>
  <si>
    <t>Q9H0W9-3</t>
  </si>
  <si>
    <t>Q9H173</t>
  </si>
  <si>
    <t>Q9H1B5-2</t>
  </si>
  <si>
    <t>Q9H1E1</t>
  </si>
  <si>
    <t>Q9H1I8-3</t>
  </si>
  <si>
    <t>Q9H1U4</t>
  </si>
  <si>
    <t>Q9H299</t>
  </si>
  <si>
    <t>Q9H336</t>
  </si>
  <si>
    <t>Q9H3S1</t>
  </si>
  <si>
    <t>Q9H444</t>
  </si>
  <si>
    <t>Q9H461</t>
  </si>
  <si>
    <t>Q9H4A4</t>
  </si>
  <si>
    <t>Q9H4D0</t>
  </si>
  <si>
    <t>Q9H5N1-2</t>
  </si>
  <si>
    <t>Q9H5V8-3</t>
  </si>
  <si>
    <t>Q9H6B4</t>
  </si>
  <si>
    <t>Q9H741</t>
  </si>
  <si>
    <t>Q9H8J5</t>
  </si>
  <si>
    <t>Q9H8M7-2</t>
  </si>
  <si>
    <t>Q9H910</t>
  </si>
  <si>
    <t>Q9HAT2-2</t>
  </si>
  <si>
    <t>Q9HB40</t>
  </si>
  <si>
    <t>Q9HB63-3</t>
  </si>
  <si>
    <t>Q9HB71-3</t>
  </si>
  <si>
    <t>Q9HBR0</t>
  </si>
  <si>
    <t>Q9HC38-2</t>
  </si>
  <si>
    <t>Q9HC84</t>
  </si>
  <si>
    <t>Q9HCE0-2</t>
  </si>
  <si>
    <t>Q9HCU4</t>
  </si>
  <si>
    <t>Q9HD89</t>
  </si>
  <si>
    <t>Q9HDB5-3</t>
  </si>
  <si>
    <t>Q9NP61-2</t>
  </si>
  <si>
    <t>Q9NP79-2</t>
  </si>
  <si>
    <t>Q9NP97</t>
  </si>
  <si>
    <t>Q9NPC4</t>
  </si>
  <si>
    <t>Q9NPF0-2</t>
  </si>
  <si>
    <t>Q9NPF2-2</t>
  </si>
  <si>
    <t>Q9NPH0</t>
  </si>
  <si>
    <t>Q9NPH3-3</t>
  </si>
  <si>
    <t>Q9NPR2-2</t>
  </si>
  <si>
    <t>Q9NQ36-3</t>
  </si>
  <si>
    <t>Q9NQ38-2</t>
  </si>
  <si>
    <t>Q9NQ79-2</t>
  </si>
  <si>
    <t>Q9NQP4</t>
  </si>
  <si>
    <t>Q9NQR4</t>
  </si>
  <si>
    <t>Q9NQT8-2</t>
  </si>
  <si>
    <t>Q9NQW7-2</t>
  </si>
  <si>
    <t>Q9NQX3</t>
  </si>
  <si>
    <t>Q9NQX5</t>
  </si>
  <si>
    <t>Q9NR34</t>
  </si>
  <si>
    <t>Q9NR45</t>
  </si>
  <si>
    <t>Q9NR99</t>
  </si>
  <si>
    <t>Q9NRA1-4</t>
  </si>
  <si>
    <t>Q9NRV9</t>
  </si>
  <si>
    <t>Q9NRY4</t>
  </si>
  <si>
    <t>Q9NS15</t>
  </si>
  <si>
    <t>Q9NS68-2</t>
  </si>
  <si>
    <t>Q9NTI5-2</t>
  </si>
  <si>
    <t>Q9NU53</t>
  </si>
  <si>
    <t>Q9NY33</t>
  </si>
  <si>
    <t>Q9NYL9</t>
  </si>
  <si>
    <t>Q9NYT6</t>
  </si>
  <si>
    <t>Q9NZ08</t>
  </si>
  <si>
    <t>Q9NZ20</t>
  </si>
  <si>
    <t>Q9NZ53</t>
  </si>
  <si>
    <t>Q9NZJ5</t>
  </si>
  <si>
    <t>Q9NZM1-4</t>
  </si>
  <si>
    <t>Q9NZM3-4</t>
  </si>
  <si>
    <t>Q9NZP8</t>
  </si>
  <si>
    <t>Q9NZV1</t>
  </si>
  <si>
    <t>Q9NZZ3</t>
  </si>
  <si>
    <t>Q9P0K7</t>
  </si>
  <si>
    <t>Q9P0L0</t>
  </si>
  <si>
    <t>Q9P0S2</t>
  </si>
  <si>
    <t>Q9P232</t>
  </si>
  <si>
    <t>Q9P265</t>
  </si>
  <si>
    <t>Q9P2E9-2</t>
  </si>
  <si>
    <t>Q9P2T1-3</t>
  </si>
  <si>
    <t>Q9UBC9</t>
  </si>
  <si>
    <t>Q9UBP4</t>
  </si>
  <si>
    <t>Q9UBR2</t>
  </si>
  <si>
    <t>Q9UBS3</t>
  </si>
  <si>
    <t>Q9UBV8</t>
  </si>
  <si>
    <t>Q9UBW8</t>
  </si>
  <si>
    <t>Q9UBX1</t>
  </si>
  <si>
    <t>Q9UBX5</t>
  </si>
  <si>
    <t>Q9UBX7-1</t>
  </si>
  <si>
    <t>Q9UD71</t>
  </si>
  <si>
    <t>Q9UDY2-6</t>
  </si>
  <si>
    <t>Q9UFH2-4</t>
  </si>
  <si>
    <t>Q9UGM3-9</t>
  </si>
  <si>
    <t>Q9UGM5-2</t>
  </si>
  <si>
    <t>Q9UGV2-3</t>
  </si>
  <si>
    <t>Q9UHC6</t>
  </si>
  <si>
    <t>Q9UHG2</t>
  </si>
  <si>
    <t>Q9UHI8</t>
  </si>
  <si>
    <t>Q9UHL4</t>
  </si>
  <si>
    <t>Q9UHQ7</t>
  </si>
  <si>
    <t>Q9UHV9</t>
  </si>
  <si>
    <t>Q9UHY7</t>
  </si>
  <si>
    <t>Q9UI12-2</t>
  </si>
  <si>
    <t>Q9UJC5</t>
  </si>
  <si>
    <t>Q9UJH8</t>
  </si>
  <si>
    <t>Q9UJJ9</t>
  </si>
  <si>
    <t>Q9UKK9</t>
  </si>
  <si>
    <t>Q9UL25</t>
  </si>
  <si>
    <t>Q9UL46</t>
  </si>
  <si>
    <t>Q9ULE4</t>
  </si>
  <si>
    <t>Q9ULH7-4</t>
  </si>
  <si>
    <t>Q9ULL4</t>
  </si>
  <si>
    <t>Q9UM22-2</t>
  </si>
  <si>
    <t>Q9UM54-5</t>
  </si>
  <si>
    <t>Q9UMX0-3</t>
  </si>
  <si>
    <t>Q9UMX5</t>
  </si>
  <si>
    <t>Q9UN36-2</t>
  </si>
  <si>
    <t>Q9UN86-2</t>
  </si>
  <si>
    <t>Q9UNW1</t>
  </si>
  <si>
    <t>Q9UNX3</t>
  </si>
  <si>
    <t>Q9UNZ2</t>
  </si>
  <si>
    <t>Q9UQ13-2</t>
  </si>
  <si>
    <t>Q9UQ80-2</t>
  </si>
  <si>
    <t>Q9UQB8-3</t>
  </si>
  <si>
    <t>Q9Y265-2</t>
  </si>
  <si>
    <t>Q9Y266</t>
  </si>
  <si>
    <t>Q9Y295</t>
  </si>
  <si>
    <t>Q9Y2A9</t>
  </si>
  <si>
    <t>Q9Y2E5-2</t>
  </si>
  <si>
    <t>Q9Y2S2-2</t>
  </si>
  <si>
    <t>Q9Y376</t>
  </si>
  <si>
    <t>Q9Y3B8-2</t>
  </si>
  <si>
    <t>Q9Y490</t>
  </si>
  <si>
    <t>Q9Y4L1</t>
  </si>
  <si>
    <t>Q9Y5K6</t>
  </si>
  <si>
    <t>Q9Y5X3</t>
  </si>
  <si>
    <t>Q9Y5X9</t>
  </si>
  <si>
    <t>Q9Y5Y6</t>
  </si>
  <si>
    <t>Q9Y5Z4-2</t>
  </si>
  <si>
    <t>Q9Y608-2</t>
  </si>
  <si>
    <t>Q9Y624</t>
  </si>
  <si>
    <t>Q9Y646</t>
  </si>
  <si>
    <t>Q9Y653-2</t>
  </si>
  <si>
    <t>Q9Y696</t>
  </si>
  <si>
    <t>Q9Y6G9</t>
  </si>
  <si>
    <t>Q9Y6I3-3</t>
  </si>
  <si>
    <t>Q9Y6K9-3</t>
  </si>
  <si>
    <t>Q9Y6R7</t>
  </si>
  <si>
    <t>Q9Y6U3-3</t>
  </si>
  <si>
    <t>Q9Y6W5</t>
  </si>
  <si>
    <t>Q9Y6X5</t>
  </si>
  <si>
    <t>FC_TMT126_P014428_seminal_plasma</t>
  </si>
  <si>
    <t>FC_TMT127L_P014428_seminal_plasma</t>
  </si>
  <si>
    <t>FC_TMT127H_P014428_seminal_plasma</t>
  </si>
  <si>
    <t>FC_TMT128L_P014428_seminal_plasma</t>
  </si>
  <si>
    <t>FC_TMT128H_P014428_seminal_plasma</t>
  </si>
  <si>
    <t>FC_TMT129L_P014428_seminal_plasma</t>
  </si>
  <si>
    <t>FC_TMT129H_P014428_seminal_plasma</t>
  </si>
  <si>
    <t>FC_TMT130L_P014428_seminal_plasma</t>
  </si>
  <si>
    <t>FC_TMT130H_P014428_seminal_plasma</t>
  </si>
  <si>
    <t>FC_TMT131L_P014428_seminal_plasma</t>
  </si>
  <si>
    <t>a_P014428_seminal_plasma</t>
  </si>
  <si>
    <t>b_P014428_seminal_plasma</t>
  </si>
  <si>
    <t>meltPoint_P014428_seminal_plasma</t>
  </si>
  <si>
    <t>inflPoint_P014428_seminal_plasma</t>
  </si>
  <si>
    <t>slope_P014428_seminal_plasma</t>
  </si>
  <si>
    <t>plateau_P014428_seminal_plasma</t>
  </si>
  <si>
    <t>R_sq_P014428_seminal_plasma</t>
  </si>
  <si>
    <t>protein_identified_in_P014428_seminal_plasma</t>
  </si>
  <si>
    <t>model_converged_P014428_seminal_plasma</t>
  </si>
  <si>
    <t>sufficient_data_for_fit_P014428_seminal_plasma</t>
  </si>
  <si>
    <t>Proteinname_P014428_seminal_plasma</t>
  </si>
  <si>
    <t>numSpec_P014428_seminal_plasma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</si>
</sst>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3"/>
  <sheetViews>
    <sheetView tabSelected="1" workbookViewId="0">
      <selection activeCell="Q7" sqref="Q7"/>
    </sheetView>
  </sheetViews>
  <sheetFormatPr defaultRowHeight="15" x14ac:dyDescent="0.25"/>
  <sheetData>
    <row r="1" spans="1:28" s="2" customFormat="1" ht="90" x14ac:dyDescent="0.25">
      <c r="A1" s="1" t="s">
        <v>0</v>
      </c>
      <c r="B1" s="1" t="s">
        <v>6604</v>
      </c>
      <c r="C1" s="1" t="s">
        <v>6605</v>
      </c>
      <c r="D1" s="1" t="s">
        <v>6606</v>
      </c>
      <c r="E1" s="1" t="s">
        <v>6607</v>
      </c>
      <c r="F1" s="1" t="s">
        <v>6608</v>
      </c>
      <c r="G1" s="1" t="s">
        <v>6609</v>
      </c>
      <c r="H1" s="1" t="s">
        <v>6610</v>
      </c>
      <c r="I1" s="1" t="s">
        <v>6611</v>
      </c>
      <c r="J1" s="1" t="s">
        <v>6612</v>
      </c>
      <c r="K1" s="1" t="s">
        <v>6613</v>
      </c>
      <c r="L1" s="1" t="s">
        <v>6614</v>
      </c>
      <c r="M1" s="1" t="s">
        <v>6615</v>
      </c>
      <c r="N1" s="1" t="s">
        <v>6616</v>
      </c>
      <c r="O1" s="1" t="s">
        <v>6617</v>
      </c>
      <c r="P1" s="1" t="s">
        <v>6618</v>
      </c>
      <c r="Q1" s="1" t="s">
        <v>6619</v>
      </c>
      <c r="R1" s="1" t="s">
        <v>6620</v>
      </c>
      <c r="S1" s="1" t="s">
        <v>1</v>
      </c>
      <c r="T1" s="1" t="s">
        <v>6621</v>
      </c>
      <c r="U1" s="1" t="s">
        <v>6622</v>
      </c>
      <c r="V1" s="1" t="s">
        <v>6623</v>
      </c>
      <c r="W1" s="1" t="s">
        <v>6624</v>
      </c>
      <c r="X1" s="1" t="s">
        <v>6625</v>
      </c>
      <c r="Y1" s="1" t="s">
        <v>2</v>
      </c>
      <c r="Z1" s="1" t="s">
        <v>3</v>
      </c>
      <c r="AA1" s="1" t="s">
        <v>4</v>
      </c>
      <c r="AB1" s="1" t="s">
        <v>5</v>
      </c>
    </row>
    <row r="2" spans="1:28" x14ac:dyDescent="0.25">
      <c r="A2" t="s">
        <v>6</v>
      </c>
      <c r="B2">
        <v>1</v>
      </c>
      <c r="C2">
        <v>1.1687238419521899</v>
      </c>
      <c r="D2">
        <v>1.5654631008961699</v>
      </c>
      <c r="E2">
        <v>1.5798869735877601</v>
      </c>
      <c r="F2">
        <v>1.8459010191293701</v>
      </c>
      <c r="G2">
        <v>2.0764465252654198</v>
      </c>
      <c r="H2">
        <v>1.6726963183656101</v>
      </c>
      <c r="I2">
        <v>1.7243621574330199</v>
      </c>
      <c r="J2">
        <v>1.81315173441158</v>
      </c>
      <c r="K2">
        <v>1.80688562578326</v>
      </c>
      <c r="L2">
        <v>10753.944150110399</v>
      </c>
      <c r="M2">
        <v>250</v>
      </c>
      <c r="O2">
        <v>43.013024957905401</v>
      </c>
      <c r="P2">
        <v>0.72652413665156601</v>
      </c>
      <c r="Q2">
        <v>1.5</v>
      </c>
      <c r="R2">
        <v>0.216092303160411</v>
      </c>
      <c r="S2" t="s">
        <v>1328</v>
      </c>
      <c r="T2" t="s">
        <v>2650</v>
      </c>
      <c r="U2" t="s">
        <v>2650</v>
      </c>
      <c r="V2" t="s">
        <v>2650</v>
      </c>
      <c r="W2" t="s">
        <v>2652</v>
      </c>
      <c r="X2">
        <v>1</v>
      </c>
      <c r="Y2" t="s">
        <v>3973</v>
      </c>
      <c r="Z2" t="s">
        <v>5282</v>
      </c>
      <c r="AA2">
        <v>1.449699310634031</v>
      </c>
      <c r="AB2" t="str">
        <f>HYPERLINK("Melting_Curves/meltCurve_A0A075B6I0_IGLV8_61.pdf", "Melting_Curves/meltCurve_A0A075B6I0_IGLV8_61.pdf")</f>
        <v>Melting_Curves/meltCurve_A0A075B6I0_IGLV8_61.pdf</v>
      </c>
    </row>
    <row r="3" spans="1:28" x14ac:dyDescent="0.25">
      <c r="A3" t="s">
        <v>7</v>
      </c>
      <c r="B3">
        <v>1</v>
      </c>
      <c r="C3">
        <v>0.84882936014495303</v>
      </c>
      <c r="D3">
        <v>1.2312857498134799</v>
      </c>
      <c r="E3">
        <v>1.2591750452979</v>
      </c>
      <c r="F3">
        <v>1.38369986144172</v>
      </c>
      <c r="G3">
        <v>1.4278253455075101</v>
      </c>
      <c r="H3">
        <v>1.2319607773475001</v>
      </c>
      <c r="I3">
        <v>1.43532170391161</v>
      </c>
      <c r="J3">
        <v>1.12441823284897</v>
      </c>
      <c r="K3">
        <v>1.3549223718335901</v>
      </c>
      <c r="L3">
        <v>11454.210099008</v>
      </c>
      <c r="M3">
        <v>250</v>
      </c>
      <c r="O3">
        <v>45.813908259820501</v>
      </c>
      <c r="P3">
        <v>0.43212925269338798</v>
      </c>
      <c r="Q3">
        <v>1.31676047977957</v>
      </c>
      <c r="R3">
        <v>0.68950807302554196</v>
      </c>
      <c r="S3" t="s">
        <v>1329</v>
      </c>
      <c r="T3" t="s">
        <v>2650</v>
      </c>
      <c r="U3" t="s">
        <v>2650</v>
      </c>
      <c r="V3" t="s">
        <v>2650</v>
      </c>
      <c r="W3" t="s">
        <v>2653</v>
      </c>
      <c r="X3">
        <v>1</v>
      </c>
      <c r="Y3" t="s">
        <v>3974</v>
      </c>
      <c r="Z3" t="s">
        <v>5283</v>
      </c>
      <c r="AA3">
        <v>1.255316837931405</v>
      </c>
      <c r="AB3" t="str">
        <f>HYPERLINK("Melting_Curves/meltCurve_A0A075B6I9_IGLV7_46.pdf", "Melting_Curves/meltCurve_A0A075B6I9_IGLV7_46.pdf")</f>
        <v>Melting_Curves/meltCurve_A0A075B6I9_IGLV7_46.pdf</v>
      </c>
    </row>
    <row r="4" spans="1:28" x14ac:dyDescent="0.25">
      <c r="A4" t="s">
        <v>8</v>
      </c>
      <c r="B4">
        <v>1</v>
      </c>
      <c r="C4">
        <v>0.949859254046446</v>
      </c>
      <c r="D4">
        <v>1.2185960591133</v>
      </c>
      <c r="E4">
        <v>1.3835327234342001</v>
      </c>
      <c r="F4">
        <v>1.30307295331926</v>
      </c>
      <c r="G4">
        <v>1.3446223316913</v>
      </c>
      <c r="H4">
        <v>1.19918484635233</v>
      </c>
      <c r="I4">
        <v>1.6756685432793801</v>
      </c>
      <c r="J4">
        <v>1.0066561107201499</v>
      </c>
      <c r="K4">
        <v>1.4981820314332599</v>
      </c>
      <c r="L4">
        <v>11474.591206994401</v>
      </c>
      <c r="M4">
        <v>250</v>
      </c>
      <c r="O4">
        <v>45.895427832536903</v>
      </c>
      <c r="P4">
        <v>0.469024224837368</v>
      </c>
      <c r="Q4">
        <v>1.34441707753325</v>
      </c>
      <c r="R4">
        <v>0.43690476242617399</v>
      </c>
      <c r="S4" t="s">
        <v>1330</v>
      </c>
      <c r="T4" t="s">
        <v>2650</v>
      </c>
      <c r="U4" t="s">
        <v>2650</v>
      </c>
      <c r="V4" t="s">
        <v>2650</v>
      </c>
      <c r="W4" t="s">
        <v>2654</v>
      </c>
      <c r="X4">
        <v>1</v>
      </c>
      <c r="Y4" t="s">
        <v>3975</v>
      </c>
      <c r="Z4" t="s">
        <v>5284</v>
      </c>
      <c r="AA4">
        <v>1.2766727485463001</v>
      </c>
      <c r="AB4" t="str">
        <f>HYPERLINK("Melting_Curves/meltCurve_A0A0A0MRZ8_IGKV3D_11.pdf", "Melting_Curves/meltCurve_A0A0A0MRZ8_IGKV3D_11.pdf")</f>
        <v>Melting_Curves/meltCurve_A0A0A0MRZ8_IGKV3D_11.pdf</v>
      </c>
    </row>
    <row r="5" spans="1:28" x14ac:dyDescent="0.25">
      <c r="A5" t="s">
        <v>9</v>
      </c>
      <c r="B5">
        <v>1</v>
      </c>
      <c r="C5">
        <v>0.90278133265079796</v>
      </c>
      <c r="D5">
        <v>1.2118206637658899</v>
      </c>
      <c r="E5">
        <v>1.61675624946677</v>
      </c>
      <c r="F5">
        <v>1.6034254756420101</v>
      </c>
      <c r="G5">
        <v>2.00377527514717</v>
      </c>
      <c r="H5">
        <v>1.40549014589199</v>
      </c>
      <c r="I5">
        <v>1.9227241702926401</v>
      </c>
      <c r="J5">
        <v>1.5278133265079801</v>
      </c>
      <c r="K5">
        <v>1.8081861615903101</v>
      </c>
      <c r="L5">
        <v>11514.160778765199</v>
      </c>
      <c r="M5">
        <v>250</v>
      </c>
      <c r="O5">
        <v>46.053695700154698</v>
      </c>
      <c r="P5">
        <v>0.67855574882561498</v>
      </c>
      <c r="Q5">
        <v>1.5</v>
      </c>
      <c r="R5">
        <v>0.54368363228016303</v>
      </c>
      <c r="S5" t="s">
        <v>1331</v>
      </c>
      <c r="T5" t="s">
        <v>2650</v>
      </c>
      <c r="U5" t="s">
        <v>2650</v>
      </c>
      <c r="V5" t="s">
        <v>2650</v>
      </c>
      <c r="W5" t="s">
        <v>2655</v>
      </c>
      <c r="X5">
        <v>2</v>
      </c>
      <c r="Y5" t="s">
        <v>3976</v>
      </c>
      <c r="Z5" t="s">
        <v>5285</v>
      </c>
      <c r="AA5">
        <v>1.399015533736387</v>
      </c>
      <c r="AB5" t="str">
        <f>HYPERLINK("Melting_Curves/meltCurve_A0A0B4J1Y9_IGHV3_72.pdf", "Melting_Curves/meltCurve_A0A0B4J1Y9_IGHV3_72.pdf")</f>
        <v>Melting_Curves/meltCurve_A0A0B4J1Y9_IGHV3_72.pdf</v>
      </c>
    </row>
    <row r="6" spans="1:28" x14ac:dyDescent="0.25">
      <c r="A6" t="s">
        <v>10</v>
      </c>
      <c r="B6">
        <v>1</v>
      </c>
      <c r="C6">
        <v>1.21124374899177</v>
      </c>
      <c r="D6">
        <v>1.53653815131473</v>
      </c>
      <c r="E6">
        <v>1.90062913373125</v>
      </c>
      <c r="F6">
        <v>1.8250524278109399</v>
      </c>
      <c r="G6">
        <v>2.1351024358767501</v>
      </c>
      <c r="H6">
        <v>1.567026939829</v>
      </c>
      <c r="I6">
        <v>1.9612840780771099</v>
      </c>
      <c r="J6">
        <v>1.65042748830457</v>
      </c>
      <c r="K6">
        <v>2.0212130988869199</v>
      </c>
      <c r="L6">
        <v>10738.409260763499</v>
      </c>
      <c r="M6">
        <v>250</v>
      </c>
      <c r="O6">
        <v>42.950888247159199</v>
      </c>
      <c r="P6">
        <v>0.72757517427478002</v>
      </c>
      <c r="Q6">
        <v>1.5</v>
      </c>
      <c r="R6">
        <v>5.3053527484685503E-3</v>
      </c>
      <c r="S6" t="s">
        <v>1332</v>
      </c>
      <c r="T6" t="s">
        <v>2650</v>
      </c>
      <c r="U6" t="s">
        <v>2650</v>
      </c>
      <c r="V6" t="s">
        <v>2650</v>
      </c>
      <c r="W6" t="s">
        <v>2656</v>
      </c>
      <c r="X6">
        <v>3</v>
      </c>
      <c r="Y6" t="s">
        <v>3977</v>
      </c>
      <c r="Z6" t="s">
        <v>5286</v>
      </c>
      <c r="AA6">
        <v>1.4507350244431541</v>
      </c>
      <c r="AB6" t="str">
        <f>HYPERLINK("Melting_Curves/meltCurve_A0A0C4DH42_IGHV3_66.pdf", "Melting_Curves/meltCurve_A0A0C4DH42_IGHV3_66.pdf")</f>
        <v>Melting_Curves/meltCurve_A0A0C4DH42_IGHV3_66.pdf</v>
      </c>
    </row>
    <row r="7" spans="1:28" x14ac:dyDescent="0.25">
      <c r="A7" t="s">
        <v>11</v>
      </c>
      <c r="B7">
        <v>1</v>
      </c>
      <c r="C7">
        <v>0.96807281132620604</v>
      </c>
      <c r="D7">
        <v>1.21213934866059</v>
      </c>
      <c r="E7">
        <v>1.4344945721715401</v>
      </c>
      <c r="F7">
        <v>1.28998637883353</v>
      </c>
      <c r="G7">
        <v>1.33256284310893</v>
      </c>
      <c r="H7">
        <v>1.1495232591736499</v>
      </c>
      <c r="I7">
        <v>1.43051141288645</v>
      </c>
      <c r="J7">
        <v>1.0149832831138801</v>
      </c>
      <c r="K7">
        <v>1.28870681471086</v>
      </c>
      <c r="L7">
        <v>11445.668742752599</v>
      </c>
      <c r="M7">
        <v>250</v>
      </c>
      <c r="O7">
        <v>45.779745051122298</v>
      </c>
      <c r="P7">
        <v>0.378514357194289</v>
      </c>
      <c r="Q7">
        <v>1.27725265280537</v>
      </c>
      <c r="R7">
        <v>0.49177827422360798</v>
      </c>
      <c r="S7" t="s">
        <v>1333</v>
      </c>
      <c r="T7" t="s">
        <v>2650</v>
      </c>
      <c r="U7" t="s">
        <v>2650</v>
      </c>
      <c r="V7" t="s">
        <v>2650</v>
      </c>
      <c r="W7" t="s">
        <v>2657</v>
      </c>
      <c r="X7">
        <v>1</v>
      </c>
      <c r="Y7" t="s">
        <v>3978</v>
      </c>
      <c r="Z7" t="s">
        <v>5287</v>
      </c>
      <c r="AA7">
        <v>1.223788310274464</v>
      </c>
      <c r="AB7" t="str">
        <f>HYPERLINK("Melting_Curves/meltCurve_A0A0C4DH55_IGKV3D_7.pdf", "Melting_Curves/meltCurve_A0A0C4DH55_IGKV3D_7.pdf")</f>
        <v>Melting_Curves/meltCurve_A0A0C4DH55_IGKV3D_7.pdf</v>
      </c>
    </row>
    <row r="8" spans="1:28" x14ac:dyDescent="0.25">
      <c r="A8" t="s">
        <v>12</v>
      </c>
      <c r="B8">
        <v>1</v>
      </c>
      <c r="C8">
        <v>0.80447542567448205</v>
      </c>
      <c r="D8">
        <v>1.18035716140828</v>
      </c>
      <c r="E8">
        <v>1.31021514871337</v>
      </c>
      <c r="F8">
        <v>1.0754319076657799</v>
      </c>
      <c r="G8">
        <v>1.0441621043227101</v>
      </c>
      <c r="H8">
        <v>0.968875637602718</v>
      </c>
      <c r="I8">
        <v>1.1218691239260701</v>
      </c>
      <c r="J8">
        <v>0.72575031945064905</v>
      </c>
      <c r="K8">
        <v>0.98439626424542104</v>
      </c>
      <c r="L8">
        <v>15000</v>
      </c>
      <c r="M8">
        <v>229.15819492400601</v>
      </c>
      <c r="O8">
        <v>65.451979965582893</v>
      </c>
      <c r="P8">
        <v>-0.126595268913089</v>
      </c>
      <c r="Q8">
        <v>0.85536784333087201</v>
      </c>
      <c r="R8">
        <v>0.14154312175983999</v>
      </c>
      <c r="S8" t="s">
        <v>1334</v>
      </c>
      <c r="T8" t="s">
        <v>2650</v>
      </c>
      <c r="U8" t="s">
        <v>2650</v>
      </c>
      <c r="V8" t="s">
        <v>2650</v>
      </c>
      <c r="W8" t="s">
        <v>2658</v>
      </c>
      <c r="X8">
        <v>4</v>
      </c>
      <c r="Y8" t="s">
        <v>3979</v>
      </c>
      <c r="Z8" t="s">
        <v>5288</v>
      </c>
      <c r="AA8">
        <v>0.97811747751209344</v>
      </c>
      <c r="AB8" t="str">
        <f>HYPERLINK("Melting_Curves/meltCurve_A0MZ66_8_SHTN1.pdf", "Melting_Curves/meltCurve_A0MZ66_8_SHTN1.pdf")</f>
        <v>Melting_Curves/meltCurve_A0MZ66_8_SHTN1.pdf</v>
      </c>
    </row>
    <row r="9" spans="1:28" x14ac:dyDescent="0.25">
      <c r="A9" t="s">
        <v>13</v>
      </c>
      <c r="B9">
        <v>1</v>
      </c>
      <c r="C9">
        <v>1.0876858453545599</v>
      </c>
      <c r="D9">
        <v>1.2248936052617001</v>
      </c>
      <c r="E9">
        <v>1.2624495661305499</v>
      </c>
      <c r="F9">
        <v>1.5436632951970399</v>
      </c>
      <c r="G9">
        <v>1.6219532415851401</v>
      </c>
      <c r="H9">
        <v>1.15298734317139</v>
      </c>
      <c r="I9">
        <v>1.4972917702979101</v>
      </c>
      <c r="J9">
        <v>1.32587188415409</v>
      </c>
      <c r="K9">
        <v>1.5286298568507199</v>
      </c>
      <c r="L9">
        <v>996.73780976550495</v>
      </c>
      <c r="M9">
        <v>21.604309961744502</v>
      </c>
      <c r="O9">
        <v>45.746230310874999</v>
      </c>
      <c r="P9">
        <v>5.1514440913001003E-2</v>
      </c>
      <c r="Q9">
        <v>1.4363083441736799</v>
      </c>
      <c r="R9">
        <v>0.588477965488719</v>
      </c>
      <c r="S9" t="s">
        <v>1335</v>
      </c>
      <c r="T9" t="s">
        <v>2650</v>
      </c>
      <c r="U9" t="s">
        <v>2650</v>
      </c>
      <c r="V9" t="s">
        <v>2650</v>
      </c>
      <c r="W9" t="s">
        <v>2659</v>
      </c>
      <c r="X9">
        <v>1</v>
      </c>
      <c r="Y9" t="s">
        <v>3980</v>
      </c>
      <c r="Z9" t="s">
        <v>5289</v>
      </c>
      <c r="AA9">
        <v>1.341467651103607</v>
      </c>
      <c r="AB9" t="str">
        <f>HYPERLINK("Melting_Curves/meltCurve_A2NJV5_IGKV2_29.pdf", "Melting_Curves/meltCurve_A2NJV5_IGKV2_29.pdf")</f>
        <v>Melting_Curves/meltCurve_A2NJV5_IGKV2_29.pdf</v>
      </c>
    </row>
    <row r="10" spans="1:28" x14ac:dyDescent="0.25">
      <c r="A10" t="s">
        <v>14</v>
      </c>
      <c r="B10">
        <v>1</v>
      </c>
      <c r="C10">
        <v>0.742661691542289</v>
      </c>
      <c r="D10">
        <v>1.2606965174129401</v>
      </c>
      <c r="E10">
        <v>1.4032338308457699</v>
      </c>
      <c r="F10">
        <v>1.0687810945273599</v>
      </c>
      <c r="G10">
        <v>1.13980099502488</v>
      </c>
      <c r="H10">
        <v>1.11666666666667</v>
      </c>
      <c r="I10">
        <v>1.1866293532338299</v>
      </c>
      <c r="J10">
        <v>0.70802238805970197</v>
      </c>
      <c r="K10">
        <v>1.05752487562189</v>
      </c>
      <c r="L10">
        <v>1666.5212408719799</v>
      </c>
      <c r="M10">
        <v>24.821568484892101</v>
      </c>
      <c r="O10">
        <v>66.708806201283295</v>
      </c>
      <c r="P10">
        <v>-5.1533973137336897E-3</v>
      </c>
      <c r="Q10">
        <v>0.94460104548310597</v>
      </c>
      <c r="R10">
        <v>-0.10741260205693499</v>
      </c>
      <c r="S10" t="s">
        <v>1336</v>
      </c>
      <c r="T10" t="s">
        <v>2650</v>
      </c>
      <c r="U10" t="s">
        <v>2650</v>
      </c>
      <c r="V10" t="s">
        <v>2650</v>
      </c>
      <c r="W10" t="s">
        <v>2660</v>
      </c>
      <c r="X10">
        <v>1</v>
      </c>
      <c r="Y10" t="s">
        <v>3981</v>
      </c>
      <c r="Z10" t="s">
        <v>5290</v>
      </c>
      <c r="AA10">
        <v>0.99353919821418157</v>
      </c>
      <c r="AB10" t="str">
        <f>HYPERLINK("Melting_Curves/meltCurve_A6NGW2_STRCP1.pdf", "Melting_Curves/meltCurve_A6NGW2_STRCP1.pdf")</f>
        <v>Melting_Curves/meltCurve_A6NGW2_STRCP1.pdf</v>
      </c>
    </row>
    <row r="11" spans="1:28" x14ac:dyDescent="0.25">
      <c r="A11" t="s">
        <v>15</v>
      </c>
      <c r="B11">
        <v>1</v>
      </c>
      <c r="C11">
        <v>0.53744351194318896</v>
      </c>
      <c r="D11">
        <v>1.1018839133752001</v>
      </c>
      <c r="E11">
        <v>1.3371089852690901</v>
      </c>
      <c r="F11">
        <v>0.79130230647338495</v>
      </c>
      <c r="G11">
        <v>0.82851106285580101</v>
      </c>
      <c r="H11">
        <v>0.81700804037795605</v>
      </c>
      <c r="I11">
        <v>0.82399201831093405</v>
      </c>
      <c r="J11">
        <v>0.38508128411291698</v>
      </c>
      <c r="K11">
        <v>0.68818592640413201</v>
      </c>
      <c r="L11">
        <v>945.68262746666596</v>
      </c>
      <c r="M11">
        <v>15.3512439637929</v>
      </c>
      <c r="O11">
        <v>60.586009765033602</v>
      </c>
      <c r="P11">
        <v>-3.0900353166629899E-2</v>
      </c>
      <c r="Q11">
        <v>0.51223320066298805</v>
      </c>
      <c r="R11">
        <v>0.29533964384252898</v>
      </c>
      <c r="S11" t="s">
        <v>1337</v>
      </c>
      <c r="T11" t="s">
        <v>2650</v>
      </c>
      <c r="U11" t="s">
        <v>2650</v>
      </c>
      <c r="V11" t="s">
        <v>2650</v>
      </c>
      <c r="W11" t="s">
        <v>2661</v>
      </c>
      <c r="X11">
        <v>1</v>
      </c>
      <c r="Y11" t="s">
        <v>3982</v>
      </c>
      <c r="Z11" t="s">
        <v>5291</v>
      </c>
      <c r="AA11">
        <v>0.86347199878877445</v>
      </c>
      <c r="AB11" t="str">
        <f>HYPERLINK("Melting_Curves/meltCurve_A8MW95_BECN2.pdf", "Melting_Curves/meltCurve_A8MW95_BECN2.pdf")</f>
        <v>Melting_Curves/meltCurve_A8MW95_BECN2.pdf</v>
      </c>
    </row>
    <row r="12" spans="1:28" x14ac:dyDescent="0.25">
      <c r="A12" t="s">
        <v>16</v>
      </c>
      <c r="B12">
        <v>1</v>
      </c>
      <c r="C12">
        <v>0.88215907426395201</v>
      </c>
      <c r="D12">
        <v>2.3509594258092901</v>
      </c>
      <c r="E12">
        <v>4.8289878423905099</v>
      </c>
      <c r="F12">
        <v>4.5017577266734996</v>
      </c>
      <c r="G12">
        <v>2.5013915336165198</v>
      </c>
      <c r="H12">
        <v>4.5667203749816903</v>
      </c>
      <c r="I12">
        <v>10.1669840339827</v>
      </c>
      <c r="J12">
        <v>2.0674527610956499</v>
      </c>
      <c r="K12">
        <v>5.5276109564962601</v>
      </c>
      <c r="L12">
        <v>11056.667539709801</v>
      </c>
      <c r="M12">
        <v>250</v>
      </c>
      <c r="O12">
        <v>44.223839414907999</v>
      </c>
      <c r="P12">
        <v>0.70663244248376</v>
      </c>
      <c r="Q12">
        <v>1.5</v>
      </c>
      <c r="R12">
        <v>-0.78662004047925604</v>
      </c>
      <c r="S12" t="s">
        <v>1338</v>
      </c>
      <c r="T12" t="s">
        <v>2650</v>
      </c>
      <c r="U12" t="s">
        <v>2650</v>
      </c>
      <c r="V12" t="s">
        <v>2650</v>
      </c>
      <c r="W12" t="s">
        <v>2662</v>
      </c>
      <c r="X12">
        <v>1</v>
      </c>
      <c r="Y12" t="s">
        <v>3983</v>
      </c>
      <c r="Z12" t="s">
        <v>5292</v>
      </c>
      <c r="AA12">
        <v>1.4295166887937649</v>
      </c>
      <c r="AB12" t="str">
        <f>HYPERLINK("Melting_Curves/meltCurve_B2RTY4_5_MYO9A.pdf", "Melting_Curves/meltCurve_B2RTY4_5_MYO9A.pdf")</f>
        <v>Melting_Curves/meltCurve_B2RTY4_5_MYO9A.pdf</v>
      </c>
    </row>
    <row r="13" spans="1:28" x14ac:dyDescent="0.25">
      <c r="A13" t="s">
        <v>17</v>
      </c>
      <c r="B13">
        <v>1</v>
      </c>
      <c r="C13">
        <v>0.78341905346104801</v>
      </c>
      <c r="D13">
        <v>0.99580050016514898</v>
      </c>
      <c r="E13">
        <v>1.1387250507243001</v>
      </c>
      <c r="F13">
        <v>0.96725333836644201</v>
      </c>
      <c r="G13">
        <v>0.92539989619213903</v>
      </c>
      <c r="H13">
        <v>0.88118718444769495</v>
      </c>
      <c r="I13">
        <v>1.06129382343227</v>
      </c>
      <c r="J13">
        <v>0.64870476100599295</v>
      </c>
      <c r="K13">
        <v>0.82900014155617396</v>
      </c>
      <c r="L13">
        <v>15000</v>
      </c>
      <c r="M13">
        <v>229.31459929710999</v>
      </c>
      <c r="O13">
        <v>65.407358087348101</v>
      </c>
      <c r="P13">
        <v>-0.22904505530393399</v>
      </c>
      <c r="Q13">
        <v>0.73867814772124996</v>
      </c>
      <c r="R13">
        <v>0.41711649637790998</v>
      </c>
      <c r="S13" t="s">
        <v>1339</v>
      </c>
      <c r="T13" t="s">
        <v>2650</v>
      </c>
      <c r="U13" t="s">
        <v>2650</v>
      </c>
      <c r="V13" t="s">
        <v>2650</v>
      </c>
      <c r="W13" t="s">
        <v>2663</v>
      </c>
      <c r="X13">
        <v>1</v>
      </c>
      <c r="Y13" t="s">
        <v>3984</v>
      </c>
      <c r="Z13" t="s">
        <v>5293</v>
      </c>
      <c r="AA13">
        <v>0.96007362341581048</v>
      </c>
      <c r="AB13" t="str">
        <f>HYPERLINK("Melting_Curves/meltCurve_C4AMC7_WASH3P.pdf", "Melting_Curves/meltCurve_C4AMC7_WASH3P.pdf")</f>
        <v>Melting_Curves/meltCurve_C4AMC7_WASH3P.pdf</v>
      </c>
    </row>
    <row r="14" spans="1:28" x14ac:dyDescent="0.25">
      <c r="A14" t="s">
        <v>18</v>
      </c>
      <c r="B14">
        <v>1</v>
      </c>
      <c r="C14">
        <v>0.75924792735886304</v>
      </c>
      <c r="D14">
        <v>1.19532175286222</v>
      </c>
      <c r="E14">
        <v>1.38185945519147</v>
      </c>
      <c r="F14">
        <v>1.03523489932886</v>
      </c>
      <c r="G14">
        <v>1.0178641926569301</v>
      </c>
      <c r="H14">
        <v>1.0325700750098701</v>
      </c>
      <c r="I14">
        <v>1.1923608369522301</v>
      </c>
      <c r="J14">
        <v>0.67067706277141703</v>
      </c>
      <c r="K14">
        <v>0.95788590604026802</v>
      </c>
      <c r="L14">
        <v>1714.9912842318199</v>
      </c>
      <c r="M14">
        <v>25.551609222547398</v>
      </c>
      <c r="O14">
        <v>66.711652617106296</v>
      </c>
      <c r="P14">
        <v>-1.6672165249633102E-2</v>
      </c>
      <c r="Q14">
        <v>0.82588743745080295</v>
      </c>
      <c r="R14">
        <v>5.0673588791833798E-2</v>
      </c>
      <c r="S14" t="s">
        <v>1340</v>
      </c>
      <c r="T14" t="s">
        <v>2650</v>
      </c>
      <c r="U14" t="s">
        <v>2650</v>
      </c>
      <c r="V14" t="s">
        <v>2650</v>
      </c>
      <c r="W14" t="s">
        <v>2664</v>
      </c>
      <c r="X14">
        <v>3</v>
      </c>
      <c r="Y14" t="s">
        <v>3985</v>
      </c>
      <c r="Z14" t="s">
        <v>5294</v>
      </c>
      <c r="AA14">
        <v>0.9798117752607074</v>
      </c>
      <c r="AB14" t="str">
        <f>HYPERLINK("Melting_Curves/meltCurve_E9PAV3_NACA.pdf", "Melting_Curves/meltCurve_E9PAV3_NACA.pdf")</f>
        <v>Melting_Curves/meltCurve_E9PAV3_NACA.pdf</v>
      </c>
    </row>
    <row r="15" spans="1:28" x14ac:dyDescent="0.25">
      <c r="A15" t="s">
        <v>19</v>
      </c>
      <c r="B15">
        <v>1</v>
      </c>
      <c r="C15">
        <v>0.87317527694378305</v>
      </c>
      <c r="D15">
        <v>1.1662698001863501</v>
      </c>
      <c r="E15">
        <v>1.4233357490423399</v>
      </c>
      <c r="F15">
        <v>1.10140801325189</v>
      </c>
      <c r="G15">
        <v>1.2467129102391601</v>
      </c>
      <c r="H15">
        <v>1.05316285329744</v>
      </c>
      <c r="I15">
        <v>1.2926286365048101</v>
      </c>
      <c r="J15">
        <v>0.90387203644269598</v>
      </c>
      <c r="K15">
        <v>1.1593850295061601</v>
      </c>
      <c r="L15">
        <v>11304.832864333301</v>
      </c>
      <c r="M15">
        <v>250</v>
      </c>
      <c r="O15">
        <v>45.216438158796201</v>
      </c>
      <c r="P15">
        <v>0.233108571991719</v>
      </c>
      <c r="Q15">
        <v>1.1686454274421501</v>
      </c>
      <c r="R15">
        <v>0.29028160305196499</v>
      </c>
      <c r="S15" t="s">
        <v>1341</v>
      </c>
      <c r="T15" t="s">
        <v>2650</v>
      </c>
      <c r="U15" t="s">
        <v>2650</v>
      </c>
      <c r="V15" t="s">
        <v>2650</v>
      </c>
      <c r="W15" t="s">
        <v>2665</v>
      </c>
      <c r="X15">
        <v>7</v>
      </c>
      <c r="Y15" t="s">
        <v>3986</v>
      </c>
      <c r="Z15" t="s">
        <v>5295</v>
      </c>
      <c r="AA15">
        <v>1.139291497719269</v>
      </c>
      <c r="AB15" t="str">
        <f>HYPERLINK("Melting_Curves/meltCurve_O00115_2_DNASE2.pdf", "Melting_Curves/meltCurve_O00115_2_DNASE2.pdf")</f>
        <v>Melting_Curves/meltCurve_O00115_2_DNASE2.pdf</v>
      </c>
    </row>
    <row r="16" spans="1:28" x14ac:dyDescent="0.25">
      <c r="A16" t="s">
        <v>20</v>
      </c>
      <c r="B16">
        <v>1</v>
      </c>
      <c r="C16">
        <v>0.71390364860077904</v>
      </c>
      <c r="D16">
        <v>1.00371944739639</v>
      </c>
      <c r="E16">
        <v>1.1447042153737199</v>
      </c>
      <c r="F16">
        <v>0.96041445270988302</v>
      </c>
      <c r="G16">
        <v>1.1223875309953999</v>
      </c>
      <c r="H16">
        <v>1.18083599008147</v>
      </c>
      <c r="I16">
        <v>1.47024442082891</v>
      </c>
      <c r="J16">
        <v>0.78304109103790298</v>
      </c>
      <c r="K16">
        <v>1.0786397449521801</v>
      </c>
      <c r="L16">
        <v>1231.78251190482</v>
      </c>
      <c r="M16">
        <v>23.3657865906655</v>
      </c>
      <c r="O16">
        <v>52.335770798454902</v>
      </c>
      <c r="P16">
        <v>1.388728406515E-2</v>
      </c>
      <c r="Q16">
        <v>1.12441934242773</v>
      </c>
      <c r="R16">
        <v>0.136369529448262</v>
      </c>
      <c r="S16" t="s">
        <v>1342</v>
      </c>
      <c r="T16" t="s">
        <v>2650</v>
      </c>
      <c r="U16" t="s">
        <v>2650</v>
      </c>
      <c r="V16" t="s">
        <v>2650</v>
      </c>
      <c r="W16" t="s">
        <v>2666</v>
      </c>
      <c r="X16">
        <v>1</v>
      </c>
      <c r="Y16" t="s">
        <v>3987</v>
      </c>
      <c r="Z16" t="s">
        <v>5296</v>
      </c>
      <c r="AA16">
        <v>1.0703791669519009</v>
      </c>
      <c r="AB16" t="str">
        <f>HYPERLINK("Melting_Curves/meltCurve_O00151_PDLIM1.pdf", "Melting_Curves/meltCurve_O00151_PDLIM1.pdf")</f>
        <v>Melting_Curves/meltCurve_O00151_PDLIM1.pdf</v>
      </c>
    </row>
    <row r="17" spans="1:28" x14ac:dyDescent="0.25">
      <c r="A17" t="s">
        <v>21</v>
      </c>
      <c r="B17">
        <v>1</v>
      </c>
      <c r="C17">
        <v>0.70255615801704097</v>
      </c>
      <c r="D17">
        <v>0.94659862395771599</v>
      </c>
      <c r="E17">
        <v>0.96742151546908495</v>
      </c>
      <c r="F17">
        <v>0.78120016403153003</v>
      </c>
      <c r="G17">
        <v>0.82749350708525105</v>
      </c>
      <c r="H17">
        <v>0.76702966236843295</v>
      </c>
      <c r="I17">
        <v>0.82886043650612795</v>
      </c>
      <c r="J17">
        <v>0.59092358864537298</v>
      </c>
      <c r="K17">
        <v>0.80056499749396304</v>
      </c>
      <c r="L17">
        <v>139.98787577810501</v>
      </c>
      <c r="M17">
        <v>1.0250499625652501</v>
      </c>
      <c r="O17">
        <v>49.848644217329898</v>
      </c>
      <c r="P17">
        <v>-6.9404495591119204E-3</v>
      </c>
      <c r="Q17">
        <v>0</v>
      </c>
      <c r="R17">
        <v>0.29246704661992001</v>
      </c>
      <c r="S17" t="s">
        <v>1343</v>
      </c>
      <c r="T17" t="s">
        <v>2650</v>
      </c>
      <c r="U17" t="s">
        <v>2650</v>
      </c>
      <c r="V17" t="s">
        <v>2650</v>
      </c>
      <c r="W17" t="s">
        <v>2667</v>
      </c>
      <c r="X17">
        <v>1</v>
      </c>
      <c r="Y17" t="s">
        <v>3988</v>
      </c>
      <c r="Z17" t="s">
        <v>5297</v>
      </c>
      <c r="AA17">
        <v>0.82197626103988097</v>
      </c>
      <c r="AB17" t="str">
        <f>HYPERLINK("Melting_Curves/meltCurve_O00159_2_MYO1C.pdf", "Melting_Curves/meltCurve_O00159_2_MYO1C.pdf")</f>
        <v>Melting_Curves/meltCurve_O00159_2_MYO1C.pdf</v>
      </c>
    </row>
    <row r="18" spans="1:28" x14ac:dyDescent="0.25">
      <c r="A18" t="s">
        <v>22</v>
      </c>
      <c r="B18">
        <v>1</v>
      </c>
      <c r="C18">
        <v>0.585836677149984</v>
      </c>
      <c r="D18">
        <v>1.0727325308173401</v>
      </c>
      <c r="E18">
        <v>1.16476882478401</v>
      </c>
      <c r="F18">
        <v>0.90742146549542702</v>
      </c>
      <c r="G18">
        <v>0.87882731446336304</v>
      </c>
      <c r="H18">
        <v>0.82659147597874405</v>
      </c>
      <c r="I18">
        <v>1.0957958283628</v>
      </c>
      <c r="J18">
        <v>0.55330224487582702</v>
      </c>
      <c r="K18">
        <v>0.82774825579293598</v>
      </c>
      <c r="L18">
        <v>430.536164486171</v>
      </c>
      <c r="M18">
        <v>5.0372322664481404</v>
      </c>
      <c r="Q18">
        <v>0</v>
      </c>
      <c r="R18">
        <v>7.8264201865290803E-2</v>
      </c>
      <c r="S18" t="s">
        <v>1344</v>
      </c>
      <c r="T18" t="s">
        <v>2650</v>
      </c>
      <c r="U18" t="s">
        <v>2650</v>
      </c>
      <c r="V18" t="s">
        <v>2650</v>
      </c>
      <c r="W18" t="s">
        <v>2668</v>
      </c>
      <c r="X18">
        <v>1</v>
      </c>
      <c r="Y18" t="s">
        <v>3989</v>
      </c>
      <c r="Z18" t="s">
        <v>5298</v>
      </c>
      <c r="AA18">
        <v>0.91835236769607187</v>
      </c>
      <c r="AB18" t="str">
        <f>HYPERLINK("Melting_Curves/meltCurve_O00170_AIP.pdf", "Melting_Curves/meltCurve_O00170_AIP.pdf")</f>
        <v>Melting_Curves/meltCurve_O00170_AIP.pdf</v>
      </c>
    </row>
    <row r="19" spans="1:28" x14ac:dyDescent="0.25">
      <c r="A19" t="s">
        <v>23</v>
      </c>
      <c r="B19">
        <v>1</v>
      </c>
      <c r="C19">
        <v>0.83004595263343905</v>
      </c>
      <c r="D19">
        <v>0.92704135737009496</v>
      </c>
      <c r="E19">
        <v>1.30427712972782</v>
      </c>
      <c r="F19">
        <v>1.4906327324142801</v>
      </c>
      <c r="G19">
        <v>1.3572993990809501</v>
      </c>
      <c r="H19">
        <v>1.30243902439024</v>
      </c>
      <c r="I19">
        <v>1.46800989749028</v>
      </c>
      <c r="J19">
        <v>1.2593849416755001</v>
      </c>
      <c r="K19">
        <v>1.47720042417815</v>
      </c>
      <c r="L19">
        <v>12438.093106235499</v>
      </c>
      <c r="M19">
        <v>250</v>
      </c>
      <c r="O19">
        <v>49.749172595015402</v>
      </c>
      <c r="P19">
        <v>0.49309145754696798</v>
      </c>
      <c r="Q19">
        <v>1.3924943988971299</v>
      </c>
      <c r="R19">
        <v>0.83788537070153202</v>
      </c>
      <c r="S19" t="s">
        <v>1345</v>
      </c>
      <c r="T19" t="s">
        <v>2650</v>
      </c>
      <c r="U19" t="s">
        <v>2650</v>
      </c>
      <c r="V19" t="s">
        <v>2650</v>
      </c>
      <c r="W19" t="s">
        <v>2669</v>
      </c>
      <c r="X19">
        <v>2</v>
      </c>
      <c r="Y19" t="s">
        <v>3990</v>
      </c>
      <c r="Z19" t="s">
        <v>5299</v>
      </c>
      <c r="AA19">
        <v>1.264868409965316</v>
      </c>
      <c r="AB19" t="str">
        <f>HYPERLINK("Melting_Curves/meltCurve_O00203_3_AP3B1.pdf", "Melting_Curves/meltCurve_O00203_3_AP3B1.pdf")</f>
        <v>Melting_Curves/meltCurve_O00203_3_AP3B1.pdf</v>
      </c>
    </row>
    <row r="20" spans="1:28" x14ac:dyDescent="0.25">
      <c r="A20" t="s">
        <v>24</v>
      </c>
      <c r="B20">
        <v>1</v>
      </c>
      <c r="C20">
        <v>0.72534042886210703</v>
      </c>
      <c r="D20">
        <v>1.07813429331664</v>
      </c>
      <c r="E20">
        <v>1.2250743465331</v>
      </c>
      <c r="F20">
        <v>0.89935827203005203</v>
      </c>
      <c r="G20">
        <v>0.98835498513069298</v>
      </c>
      <c r="H20">
        <v>0.90098606980748197</v>
      </c>
      <c r="I20">
        <v>1.01540147127876</v>
      </c>
      <c r="J20">
        <v>0.67290655814681499</v>
      </c>
      <c r="K20">
        <v>0.87973078729065601</v>
      </c>
      <c r="L20">
        <v>15000</v>
      </c>
      <c r="M20">
        <v>230.008941240561</v>
      </c>
      <c r="O20">
        <v>65.209925883430699</v>
      </c>
      <c r="P20">
        <v>-0.19725688310037301</v>
      </c>
      <c r="Q20">
        <v>0.77630249263942497</v>
      </c>
      <c r="R20">
        <v>0.26287513810893998</v>
      </c>
      <c r="S20" t="s">
        <v>1346</v>
      </c>
      <c r="T20" t="s">
        <v>2650</v>
      </c>
      <c r="U20" t="s">
        <v>2650</v>
      </c>
      <c r="V20" t="s">
        <v>2650</v>
      </c>
      <c r="W20" t="s">
        <v>2670</v>
      </c>
      <c r="X20">
        <v>2</v>
      </c>
      <c r="Y20" t="s">
        <v>3991</v>
      </c>
      <c r="Z20" t="s">
        <v>5300</v>
      </c>
      <c r="AA20">
        <v>0.96434942151945102</v>
      </c>
      <c r="AB20" t="str">
        <f>HYPERLINK("Melting_Curves/meltCurve_O00233_PSMD9.pdf", "Melting_Curves/meltCurve_O00233_PSMD9.pdf")</f>
        <v>Melting_Curves/meltCurve_O00233_PSMD9.pdf</v>
      </c>
    </row>
    <row r="21" spans="1:28" x14ac:dyDescent="0.25">
      <c r="A21" t="s">
        <v>25</v>
      </c>
      <c r="B21">
        <v>1</v>
      </c>
      <c r="C21">
        <v>0.52801673314125797</v>
      </c>
      <c r="D21">
        <v>1.0863212722108899</v>
      </c>
      <c r="E21">
        <v>1.2807210015277199</v>
      </c>
      <c r="F21">
        <v>0.69923408967405198</v>
      </c>
      <c r="G21">
        <v>0.71678748295413797</v>
      </c>
      <c r="H21">
        <v>0.79863838164276002</v>
      </c>
      <c r="I21">
        <v>0.90458418349037695</v>
      </c>
      <c r="J21">
        <v>0.38553895684449002</v>
      </c>
      <c r="K21">
        <v>0.67783576503880805</v>
      </c>
      <c r="L21">
        <v>349.73400829226603</v>
      </c>
      <c r="M21">
        <v>4.6158835878487201</v>
      </c>
      <c r="O21">
        <v>64.831969455124494</v>
      </c>
      <c r="P21">
        <v>-1.7942415420701401E-2</v>
      </c>
      <c r="Q21">
        <v>0</v>
      </c>
      <c r="R21">
        <v>0.20334933966563201</v>
      </c>
      <c r="S21" t="s">
        <v>1347</v>
      </c>
      <c r="T21" t="s">
        <v>2650</v>
      </c>
      <c r="U21" t="s">
        <v>2650</v>
      </c>
      <c r="V21" t="s">
        <v>2650</v>
      </c>
      <c r="W21" t="s">
        <v>2671</v>
      </c>
      <c r="X21">
        <v>3</v>
      </c>
      <c r="Y21" t="s">
        <v>3992</v>
      </c>
      <c r="Z21" t="s">
        <v>5301</v>
      </c>
      <c r="AA21">
        <v>0.82889935900651679</v>
      </c>
      <c r="AB21" t="str">
        <f>HYPERLINK("Melting_Curves/meltCurve_O00264_PGRMC1.pdf", "Melting_Curves/meltCurve_O00264_PGRMC1.pdf")</f>
        <v>Melting_Curves/meltCurve_O00264_PGRMC1.pdf</v>
      </c>
    </row>
    <row r="22" spans="1:28" x14ac:dyDescent="0.25">
      <c r="A22" t="s">
        <v>26</v>
      </c>
      <c r="B22">
        <v>1</v>
      </c>
      <c r="C22">
        <v>0.88492468149371994</v>
      </c>
      <c r="D22">
        <v>1.06344309483549</v>
      </c>
      <c r="E22">
        <v>1.2329645932026201</v>
      </c>
      <c r="F22">
        <v>1.0940480954163501</v>
      </c>
      <c r="G22">
        <v>1.18970969782241</v>
      </c>
      <c r="H22">
        <v>1.1268474655032199</v>
      </c>
      <c r="I22">
        <v>1.3694156523086101</v>
      </c>
      <c r="J22">
        <v>0.98093480140956002</v>
      </c>
      <c r="K22">
        <v>1.2847646216003401</v>
      </c>
      <c r="L22">
        <v>11529.020453270999</v>
      </c>
      <c r="M22">
        <v>250</v>
      </c>
      <c r="O22">
        <v>46.113132010100998</v>
      </c>
      <c r="P22">
        <v>0.24758305460354299</v>
      </c>
      <c r="Q22">
        <v>1.18266927584412</v>
      </c>
      <c r="R22">
        <v>0.435567141225989</v>
      </c>
      <c r="S22" t="s">
        <v>1348</v>
      </c>
      <c r="T22" t="s">
        <v>2650</v>
      </c>
      <c r="U22" t="s">
        <v>2650</v>
      </c>
      <c r="V22" t="s">
        <v>2650</v>
      </c>
      <c r="W22" t="s">
        <v>2672</v>
      </c>
      <c r="X22">
        <v>5</v>
      </c>
      <c r="Y22" t="s">
        <v>3993</v>
      </c>
      <c r="Z22" t="s">
        <v>5302</v>
      </c>
      <c r="AA22">
        <v>1.1454138173438999</v>
      </c>
      <c r="AB22" t="str">
        <f>HYPERLINK("Melting_Curves/meltCurve_O00299_CLIC1.pdf", "Melting_Curves/meltCurve_O00299_CLIC1.pdf")</f>
        <v>Melting_Curves/meltCurve_O00299_CLIC1.pdf</v>
      </c>
    </row>
    <row r="23" spans="1:28" x14ac:dyDescent="0.25">
      <c r="A23" t="s">
        <v>27</v>
      </c>
      <c r="B23">
        <v>1</v>
      </c>
      <c r="C23">
        <v>0.81551425776841502</v>
      </c>
      <c r="D23">
        <v>1.40585734707697</v>
      </c>
      <c r="E23">
        <v>1.5796967872996801</v>
      </c>
      <c r="F23">
        <v>1.2232525769317599</v>
      </c>
      <c r="G23">
        <v>1.3139906703784501</v>
      </c>
      <c r="H23">
        <v>1.11899029418403</v>
      </c>
      <c r="I23">
        <v>1.4813783763449</v>
      </c>
      <c r="J23">
        <v>0.79329997742833502</v>
      </c>
      <c r="K23">
        <v>1.26534873222481</v>
      </c>
      <c r="L23">
        <v>11107.688949331399</v>
      </c>
      <c r="M23">
        <v>250</v>
      </c>
      <c r="O23">
        <v>44.4279125251403</v>
      </c>
      <c r="P23">
        <v>0.38366535379449801</v>
      </c>
      <c r="Q23">
        <v>1.2727272121081701</v>
      </c>
      <c r="R23">
        <v>0.30479200899124398</v>
      </c>
      <c r="S23" t="s">
        <v>1349</v>
      </c>
      <c r="T23" t="s">
        <v>2650</v>
      </c>
      <c r="U23" t="s">
        <v>2650</v>
      </c>
      <c r="V23" t="s">
        <v>2650</v>
      </c>
      <c r="W23" t="s">
        <v>2673</v>
      </c>
      <c r="X23">
        <v>1</v>
      </c>
      <c r="Y23" t="s">
        <v>3994</v>
      </c>
      <c r="Z23" t="s">
        <v>5303</v>
      </c>
      <c r="AA23">
        <v>1.2324263569215399</v>
      </c>
      <c r="AB23" t="str">
        <f>HYPERLINK("Melting_Curves/meltCurve_O00300_TNFRSF11B.pdf", "Melting_Curves/meltCurve_O00300_TNFRSF11B.pdf")</f>
        <v>Melting_Curves/meltCurve_O00300_TNFRSF11B.pdf</v>
      </c>
    </row>
    <row r="24" spans="1:28" x14ac:dyDescent="0.25">
      <c r="A24" t="s">
        <v>28</v>
      </c>
      <c r="B24">
        <v>1</v>
      </c>
      <c r="C24">
        <v>0.83728286747200398</v>
      </c>
      <c r="D24">
        <v>1.3284763248390801</v>
      </c>
      <c r="E24">
        <v>1.9474693589630501</v>
      </c>
      <c r="F24">
        <v>1.6410589895070999</v>
      </c>
      <c r="G24">
        <v>1.8770390618111299</v>
      </c>
      <c r="H24">
        <v>1.6638744378802599</v>
      </c>
      <c r="I24">
        <v>2.0958248831672699</v>
      </c>
      <c r="J24">
        <v>1.3169032713164599</v>
      </c>
      <c r="K24">
        <v>1.8584119566175801</v>
      </c>
      <c r="L24">
        <v>11470.111809014201</v>
      </c>
      <c r="M24">
        <v>250</v>
      </c>
      <c r="O24">
        <v>45.877502661418703</v>
      </c>
      <c r="P24">
        <v>0.68116162380946699</v>
      </c>
      <c r="Q24">
        <v>1.5</v>
      </c>
      <c r="R24">
        <v>0.41443799930304298</v>
      </c>
      <c r="S24" t="s">
        <v>1350</v>
      </c>
      <c r="T24" t="s">
        <v>2650</v>
      </c>
      <c r="U24" t="s">
        <v>2650</v>
      </c>
      <c r="V24" t="s">
        <v>2650</v>
      </c>
      <c r="W24" t="s">
        <v>2674</v>
      </c>
      <c r="X24">
        <v>28</v>
      </c>
      <c r="Y24" t="s">
        <v>3995</v>
      </c>
      <c r="Z24" t="s">
        <v>5304</v>
      </c>
      <c r="AA24">
        <v>1.4019522863302989</v>
      </c>
      <c r="AB24" t="str">
        <f>HYPERLINK("Melting_Curves/meltCurve_O00339_2_MATN2.pdf", "Melting_Curves/meltCurve_O00339_2_MATN2.pdf")</f>
        <v>Melting_Curves/meltCurve_O00339_2_MATN2.pdf</v>
      </c>
    </row>
    <row r="25" spans="1:28" x14ac:dyDescent="0.25">
      <c r="A25" t="s">
        <v>29</v>
      </c>
      <c r="B25">
        <v>1</v>
      </c>
      <c r="C25">
        <v>0.97890855619081096</v>
      </c>
      <c r="D25">
        <v>1.5961240905549401</v>
      </c>
      <c r="E25">
        <v>2.00269952922844</v>
      </c>
      <c r="F25">
        <v>2.0446190481416</v>
      </c>
      <c r="G25">
        <v>2.16511023077683</v>
      </c>
      <c r="H25">
        <v>1.87759939425198</v>
      </c>
      <c r="I25">
        <v>2.2785782479396901</v>
      </c>
      <c r="J25">
        <v>1.72813765404326</v>
      </c>
      <c r="K25">
        <v>2.1213251835350699</v>
      </c>
      <c r="L25">
        <v>11066.955655710701</v>
      </c>
      <c r="M25">
        <v>250</v>
      </c>
      <c r="O25">
        <v>44.264989937339998</v>
      </c>
      <c r="P25">
        <v>0.70597553947016101</v>
      </c>
      <c r="Q25">
        <v>1.5</v>
      </c>
      <c r="R25">
        <v>-0.13428792442537801</v>
      </c>
      <c r="S25" t="s">
        <v>1351</v>
      </c>
      <c r="T25" t="s">
        <v>2650</v>
      </c>
      <c r="U25" t="s">
        <v>2650</v>
      </c>
      <c r="V25" t="s">
        <v>2650</v>
      </c>
      <c r="W25" t="s">
        <v>2675</v>
      </c>
      <c r="X25">
        <v>38</v>
      </c>
      <c r="Y25" t="s">
        <v>3996</v>
      </c>
      <c r="Z25" t="s">
        <v>5305</v>
      </c>
      <c r="AA25">
        <v>1.428830778282741</v>
      </c>
      <c r="AB25" t="str">
        <f>HYPERLINK("Melting_Curves/meltCurve_O00391_QSOX1.pdf", "Melting_Curves/meltCurve_O00391_QSOX1.pdf")</f>
        <v>Melting_Curves/meltCurve_O00391_QSOX1.pdf</v>
      </c>
    </row>
    <row r="26" spans="1:28" x14ac:dyDescent="0.25">
      <c r="A26" t="s">
        <v>30</v>
      </c>
      <c r="B26">
        <v>1</v>
      </c>
      <c r="C26">
        <v>0.86908468076396905</v>
      </c>
      <c r="D26">
        <v>1.4666436858377001</v>
      </c>
      <c r="E26">
        <v>1.8790059355172299</v>
      </c>
      <c r="F26">
        <v>1.46147299932135</v>
      </c>
      <c r="G26">
        <v>1.41472137540261</v>
      </c>
      <c r="H26">
        <v>1.3118462582542501</v>
      </c>
      <c r="I26">
        <v>1.6341523844405399</v>
      </c>
      <c r="J26">
        <v>0.91815234135148804</v>
      </c>
      <c r="K26">
        <v>1.28502332195064</v>
      </c>
      <c r="L26">
        <v>11124.266191795499</v>
      </c>
      <c r="M26">
        <v>250</v>
      </c>
      <c r="O26">
        <v>44.494217375527001</v>
      </c>
      <c r="P26">
        <v>0.59208189916850995</v>
      </c>
      <c r="Q26">
        <v>1.4215075299300199</v>
      </c>
      <c r="R26">
        <v>0.398516773330714</v>
      </c>
      <c r="S26" t="s">
        <v>1352</v>
      </c>
      <c r="T26" t="s">
        <v>2650</v>
      </c>
      <c r="U26" t="s">
        <v>2650</v>
      </c>
      <c r="V26" t="s">
        <v>2650</v>
      </c>
      <c r="W26" t="s">
        <v>2676</v>
      </c>
      <c r="X26">
        <v>32</v>
      </c>
      <c r="Y26" t="s">
        <v>3996</v>
      </c>
      <c r="Z26" t="s">
        <v>5306</v>
      </c>
      <c r="AA26">
        <v>1.3582897249772581</v>
      </c>
      <c r="AB26" t="str">
        <f>HYPERLINK("Melting_Curves/meltCurve_O00391_2_QSOX1.pdf", "Melting_Curves/meltCurve_O00391_2_QSOX1.pdf")</f>
        <v>Melting_Curves/meltCurve_O00391_2_QSOX1.pdf</v>
      </c>
    </row>
    <row r="27" spans="1:28" x14ac:dyDescent="0.25">
      <c r="A27" t="s">
        <v>31</v>
      </c>
      <c r="B27">
        <v>1</v>
      </c>
      <c r="C27">
        <v>0.71847537298181097</v>
      </c>
      <c r="D27">
        <v>0.97011036174126297</v>
      </c>
      <c r="E27">
        <v>1.11255875740854</v>
      </c>
      <c r="F27">
        <v>0.88657265481299796</v>
      </c>
      <c r="G27">
        <v>0.91651338647046798</v>
      </c>
      <c r="H27">
        <v>0.80119558553034997</v>
      </c>
      <c r="I27">
        <v>0.95534436950746005</v>
      </c>
      <c r="J27">
        <v>0.57413652156141404</v>
      </c>
      <c r="K27">
        <v>0.76824034334763902</v>
      </c>
      <c r="L27">
        <v>377.78499211014503</v>
      </c>
      <c r="M27">
        <v>4.5061417924717801</v>
      </c>
      <c r="Q27">
        <v>0</v>
      </c>
      <c r="R27">
        <v>0.26879711676279799</v>
      </c>
      <c r="S27" t="s">
        <v>1353</v>
      </c>
      <c r="T27" t="s">
        <v>2650</v>
      </c>
      <c r="U27" t="s">
        <v>2650</v>
      </c>
      <c r="V27" t="s">
        <v>2650</v>
      </c>
      <c r="W27" t="s">
        <v>2677</v>
      </c>
      <c r="X27">
        <v>2</v>
      </c>
      <c r="Y27" t="s">
        <v>3997</v>
      </c>
      <c r="Z27" t="s">
        <v>5307</v>
      </c>
      <c r="AA27">
        <v>0.89155920698131164</v>
      </c>
      <c r="AB27" t="str">
        <f>HYPERLINK("Melting_Curves/meltCurve_O00401_WASL.pdf", "Melting_Curves/meltCurve_O00401_WASL.pdf")</f>
        <v>Melting_Curves/meltCurve_O00401_WASL.pdf</v>
      </c>
    </row>
    <row r="28" spans="1:28" x14ac:dyDescent="0.25">
      <c r="A28" t="s">
        <v>32</v>
      </c>
      <c r="B28">
        <v>1</v>
      </c>
      <c r="C28">
        <v>0.5898671875</v>
      </c>
      <c r="D28">
        <v>1.182578125</v>
      </c>
      <c r="E28">
        <v>1.3817187500000001</v>
      </c>
      <c r="F28">
        <v>0.68678906250000005</v>
      </c>
      <c r="G28">
        <v>1.0959375</v>
      </c>
      <c r="H28">
        <v>1.1729687499999999</v>
      </c>
      <c r="I28">
        <v>1.0064062499999999</v>
      </c>
      <c r="J28">
        <v>0.5362265625</v>
      </c>
      <c r="K28">
        <v>0.92164062499999999</v>
      </c>
      <c r="L28">
        <v>15000</v>
      </c>
      <c r="M28">
        <v>230.53319643513501</v>
      </c>
      <c r="O28">
        <v>65.061653768146002</v>
      </c>
      <c r="P28">
        <v>-0.24004954710734799</v>
      </c>
      <c r="Q28">
        <v>0.72901046967994299</v>
      </c>
      <c r="R28">
        <v>0.18699281550558899</v>
      </c>
      <c r="S28" t="s">
        <v>1354</v>
      </c>
      <c r="T28" t="s">
        <v>2650</v>
      </c>
      <c r="U28" t="s">
        <v>2650</v>
      </c>
      <c r="V28" t="s">
        <v>2650</v>
      </c>
      <c r="W28" t="s">
        <v>2678</v>
      </c>
      <c r="X28">
        <v>1</v>
      </c>
      <c r="Y28" t="s">
        <v>3998</v>
      </c>
      <c r="Z28" t="s">
        <v>5308</v>
      </c>
      <c r="AA28">
        <v>0.95547262546347789</v>
      </c>
      <c r="AB28" t="str">
        <f>HYPERLINK("Melting_Curves/meltCurve_O00423_EML1.pdf", "Melting_Curves/meltCurve_O00423_EML1.pdf")</f>
        <v>Melting_Curves/meltCurve_O00423_EML1.pdf</v>
      </c>
    </row>
    <row r="29" spans="1:28" x14ac:dyDescent="0.25">
      <c r="A29" t="s">
        <v>33</v>
      </c>
      <c r="B29">
        <v>1</v>
      </c>
      <c r="C29">
        <v>0.78604439730282605</v>
      </c>
      <c r="D29">
        <v>1.2095234487461199</v>
      </c>
      <c r="E29">
        <v>1.4521554663232099</v>
      </c>
      <c r="F29">
        <v>1.1100462156224</v>
      </c>
      <c r="G29">
        <v>1.15467080839458</v>
      </c>
      <c r="H29">
        <v>1.0278051367527801</v>
      </c>
      <c r="I29">
        <v>1.18804454882946</v>
      </c>
      <c r="J29">
        <v>0.77426320175770902</v>
      </c>
      <c r="K29">
        <v>1.07386923251761</v>
      </c>
      <c r="L29">
        <v>11120.805499362899</v>
      </c>
      <c r="M29">
        <v>250</v>
      </c>
      <c r="O29">
        <v>44.480376417675302</v>
      </c>
      <c r="P29">
        <v>0.173947322434615</v>
      </c>
      <c r="Q29">
        <v>1.12379587498961</v>
      </c>
      <c r="R29">
        <v>0.171933734884441</v>
      </c>
      <c r="S29" t="s">
        <v>1355</v>
      </c>
      <c r="T29" t="s">
        <v>2650</v>
      </c>
      <c r="U29" t="s">
        <v>2650</v>
      </c>
      <c r="V29" t="s">
        <v>2650</v>
      </c>
      <c r="W29" t="s">
        <v>2679</v>
      </c>
      <c r="X29">
        <v>9</v>
      </c>
      <c r="Y29" t="s">
        <v>3999</v>
      </c>
      <c r="Z29" t="s">
        <v>5309</v>
      </c>
      <c r="AA29">
        <v>1.105286064240613</v>
      </c>
      <c r="AB29" t="str">
        <f>HYPERLINK("Melting_Curves/meltCurve_O00451_GFRA2.pdf", "Melting_Curves/meltCurve_O00451_GFRA2.pdf")</f>
        <v>Melting_Curves/meltCurve_O00451_GFRA2.pdf</v>
      </c>
    </row>
    <row r="30" spans="1:28" x14ac:dyDescent="0.25">
      <c r="A30" t="s">
        <v>34</v>
      </c>
      <c r="B30">
        <v>1</v>
      </c>
      <c r="C30">
        <v>0.74885998175970803</v>
      </c>
      <c r="D30">
        <v>1.12259396150338</v>
      </c>
      <c r="E30">
        <v>1.2519560312964999</v>
      </c>
      <c r="F30">
        <v>1.02764844237508</v>
      </c>
      <c r="G30">
        <v>0.91119857917726699</v>
      </c>
      <c r="H30">
        <v>0.91110257764124203</v>
      </c>
      <c r="I30">
        <v>1.04310468967503</v>
      </c>
      <c r="J30">
        <v>0.62564201027216404</v>
      </c>
      <c r="K30">
        <v>0.82028512456199298</v>
      </c>
      <c r="L30">
        <v>15000</v>
      </c>
      <c r="M30">
        <v>229.51867104268501</v>
      </c>
      <c r="O30">
        <v>65.349198739914101</v>
      </c>
      <c r="P30">
        <v>-0.24337650501167901</v>
      </c>
      <c r="Q30">
        <v>0.72282064191404904</v>
      </c>
      <c r="R30">
        <v>0.40923136838303098</v>
      </c>
      <c r="S30" t="s">
        <v>1356</v>
      </c>
      <c r="T30" t="s">
        <v>2650</v>
      </c>
      <c r="U30" t="s">
        <v>2650</v>
      </c>
      <c r="V30" t="s">
        <v>2650</v>
      </c>
      <c r="W30" t="s">
        <v>2680</v>
      </c>
      <c r="X30">
        <v>1</v>
      </c>
      <c r="Y30" t="s">
        <v>4000</v>
      </c>
      <c r="Z30" t="s">
        <v>5310</v>
      </c>
      <c r="AA30">
        <v>0.95711335608781278</v>
      </c>
      <c r="AB30" t="str">
        <f>HYPERLINK("Melting_Curves/meltCurve_O00461_GOLIM4.pdf", "Melting_Curves/meltCurve_O00461_GOLIM4.pdf")</f>
        <v>Melting_Curves/meltCurve_O00461_GOLIM4.pdf</v>
      </c>
    </row>
    <row r="31" spans="1:28" x14ac:dyDescent="0.25">
      <c r="A31" t="s">
        <v>35</v>
      </c>
      <c r="B31">
        <v>1</v>
      </c>
      <c r="C31">
        <v>0.89704250179539102</v>
      </c>
      <c r="D31">
        <v>1.3110269635045999</v>
      </c>
      <c r="E31">
        <v>1.7224652347065399</v>
      </c>
      <c r="F31">
        <v>2.0628060325128899</v>
      </c>
      <c r="G31">
        <v>3.0781484624926598</v>
      </c>
      <c r="H31">
        <v>3.11732062414311</v>
      </c>
      <c r="I31">
        <v>4.1529672912450204</v>
      </c>
      <c r="J31">
        <v>2.8343670431546601</v>
      </c>
      <c r="K31">
        <v>3.9090552980348598</v>
      </c>
      <c r="L31">
        <v>11477.0793414864</v>
      </c>
      <c r="M31">
        <v>250</v>
      </c>
      <c r="O31">
        <v>45.905379934793999</v>
      </c>
      <c r="P31">
        <v>0.68074810296759802</v>
      </c>
      <c r="Q31">
        <v>1.5</v>
      </c>
      <c r="R31">
        <v>-0.60972003556183996</v>
      </c>
      <c r="S31" t="s">
        <v>1357</v>
      </c>
      <c r="T31" t="s">
        <v>2650</v>
      </c>
      <c r="U31" t="s">
        <v>2650</v>
      </c>
      <c r="V31" t="s">
        <v>2650</v>
      </c>
      <c r="W31" t="s">
        <v>2681</v>
      </c>
      <c r="X31">
        <v>14</v>
      </c>
      <c r="Y31" t="s">
        <v>4001</v>
      </c>
      <c r="Z31" t="s">
        <v>5311</v>
      </c>
      <c r="AA31">
        <v>1.401487759709668</v>
      </c>
      <c r="AB31" t="str">
        <f>HYPERLINK("Melting_Curves/meltCurve_O00462_MANBA.pdf", "Melting_Curves/meltCurve_O00462_MANBA.pdf")</f>
        <v>Melting_Curves/meltCurve_O00462_MANBA.pdf</v>
      </c>
    </row>
    <row r="32" spans="1:28" x14ac:dyDescent="0.25">
      <c r="A32" t="s">
        <v>36</v>
      </c>
      <c r="B32">
        <v>1</v>
      </c>
      <c r="C32">
        <v>0.835063287862708</v>
      </c>
      <c r="D32">
        <v>1.17821551523309</v>
      </c>
      <c r="E32">
        <v>1.7524913933683599</v>
      </c>
      <c r="F32">
        <v>1.61051432712966</v>
      </c>
      <c r="G32">
        <v>1.7516889705692</v>
      </c>
      <c r="H32">
        <v>1.6001863691662599</v>
      </c>
      <c r="I32">
        <v>1.9114746460280101</v>
      </c>
      <c r="J32">
        <v>1.2831517096782501</v>
      </c>
      <c r="K32">
        <v>1.7353040147024601</v>
      </c>
      <c r="L32">
        <v>11527.180869220399</v>
      </c>
      <c r="M32">
        <v>250</v>
      </c>
      <c r="O32">
        <v>46.105773317589197</v>
      </c>
      <c r="P32">
        <v>0.67778931188481595</v>
      </c>
      <c r="Q32">
        <v>1.5</v>
      </c>
      <c r="R32">
        <v>0.62801772583634397</v>
      </c>
      <c r="S32" t="s">
        <v>1358</v>
      </c>
      <c r="T32" t="s">
        <v>2650</v>
      </c>
      <c r="U32" t="s">
        <v>2650</v>
      </c>
      <c r="V32" t="s">
        <v>2650</v>
      </c>
      <c r="W32" t="s">
        <v>2682</v>
      </c>
      <c r="X32">
        <v>31</v>
      </c>
      <c r="Y32" t="s">
        <v>4002</v>
      </c>
      <c r="Z32" t="s">
        <v>5312</v>
      </c>
      <c r="AA32">
        <v>1.3981474820059281</v>
      </c>
      <c r="AB32" t="str">
        <f>HYPERLINK("Melting_Curves/meltCurve_O00468_6_AGRN.pdf", "Melting_Curves/meltCurve_O00468_6_AGRN.pdf")</f>
        <v>Melting_Curves/meltCurve_O00468_6_AGRN.pdf</v>
      </c>
    </row>
    <row r="33" spans="1:28" x14ac:dyDescent="0.25">
      <c r="A33" t="s">
        <v>37</v>
      </c>
      <c r="B33">
        <v>1</v>
      </c>
      <c r="C33">
        <v>0.78641978304657001</v>
      </c>
      <c r="D33">
        <v>1.11900890625379</v>
      </c>
      <c r="E33">
        <v>1.3828961098842401</v>
      </c>
      <c r="F33">
        <v>1.05972286262043</v>
      </c>
      <c r="G33">
        <v>1.20139782075861</v>
      </c>
      <c r="H33">
        <v>1.13822894168467</v>
      </c>
      <c r="I33">
        <v>1.5602931540757601</v>
      </c>
      <c r="J33">
        <v>1.0259785958696299</v>
      </c>
      <c r="K33">
        <v>1.4297328123862401</v>
      </c>
      <c r="L33">
        <v>11506.771868309999</v>
      </c>
      <c r="M33">
        <v>250</v>
      </c>
      <c r="O33">
        <v>46.024141813497202</v>
      </c>
      <c r="P33">
        <v>0.34885617725565499</v>
      </c>
      <c r="Q33">
        <v>1.25689289978326</v>
      </c>
      <c r="R33">
        <v>0.38832206216451898</v>
      </c>
      <c r="S33" t="s">
        <v>1359</v>
      </c>
      <c r="T33" t="s">
        <v>2650</v>
      </c>
      <c r="U33" t="s">
        <v>2650</v>
      </c>
      <c r="V33" t="s">
        <v>2650</v>
      </c>
      <c r="W33" t="s">
        <v>2683</v>
      </c>
      <c r="X33">
        <v>5</v>
      </c>
      <c r="Y33" t="s">
        <v>4003</v>
      </c>
      <c r="Z33" t="s">
        <v>5313</v>
      </c>
      <c r="AA33">
        <v>1.2052616161829099</v>
      </c>
      <c r="AB33" t="str">
        <f>HYPERLINK("Melting_Curves/meltCurve_O00469_PLOD2.pdf", "Melting_Curves/meltCurve_O00469_PLOD2.pdf")</f>
        <v>Melting_Curves/meltCurve_O00469_PLOD2.pdf</v>
      </c>
    </row>
    <row r="34" spans="1:28" x14ac:dyDescent="0.25">
      <c r="A34" t="s">
        <v>38</v>
      </c>
      <c r="B34">
        <v>1</v>
      </c>
      <c r="C34">
        <v>0.75790194563461399</v>
      </c>
      <c r="D34">
        <v>1.1150172086815999</v>
      </c>
      <c r="E34">
        <v>1.3190278850881501</v>
      </c>
      <c r="F34">
        <v>1.04943105991431</v>
      </c>
      <c r="G34">
        <v>1.15687996066587</v>
      </c>
      <c r="H34">
        <v>1.0145922596052499</v>
      </c>
      <c r="I34">
        <v>1.24964880241624</v>
      </c>
      <c r="J34">
        <v>0.82979209103041396</v>
      </c>
      <c r="K34">
        <v>1.13250684835288</v>
      </c>
      <c r="L34">
        <v>11180.098210841999</v>
      </c>
      <c r="M34">
        <v>250</v>
      </c>
      <c r="O34">
        <v>44.717532829958898</v>
      </c>
      <c r="P34">
        <v>0.15146886168829099</v>
      </c>
      <c r="Q34">
        <v>1.1083730162494301</v>
      </c>
      <c r="R34">
        <v>0.20280038914337301</v>
      </c>
      <c r="S34" t="s">
        <v>1360</v>
      </c>
      <c r="T34" t="s">
        <v>2650</v>
      </c>
      <c r="U34" t="s">
        <v>2650</v>
      </c>
      <c r="V34" t="s">
        <v>2650</v>
      </c>
      <c r="W34" t="s">
        <v>2684</v>
      </c>
      <c r="X34">
        <v>2</v>
      </c>
      <c r="Y34" t="s">
        <v>4004</v>
      </c>
      <c r="Z34" t="s">
        <v>5314</v>
      </c>
      <c r="AA34">
        <v>1.091312403735083</v>
      </c>
      <c r="AB34" t="str">
        <f>HYPERLINK("Melting_Curves/meltCurve_O00533_CHL1.pdf", "Melting_Curves/meltCurve_O00533_CHL1.pdf")</f>
        <v>Melting_Curves/meltCurve_O00533_CHL1.pdf</v>
      </c>
    </row>
    <row r="35" spans="1:28" x14ac:dyDescent="0.25">
      <c r="A35" t="s">
        <v>39</v>
      </c>
      <c r="B35">
        <v>1</v>
      </c>
      <c r="C35">
        <v>0.813812294459904</v>
      </c>
      <c r="D35">
        <v>1.1668774770216701</v>
      </c>
      <c r="E35">
        <v>1.3916856395986199</v>
      </c>
      <c r="F35">
        <v>1.07538578294966</v>
      </c>
      <c r="G35">
        <v>1.1336537650729399</v>
      </c>
      <c r="H35">
        <v>1.03398262922675</v>
      </c>
      <c r="I35">
        <v>1.1960536301543101</v>
      </c>
      <c r="J35">
        <v>0.79445147145627804</v>
      </c>
      <c r="K35">
        <v>1.09216628720803</v>
      </c>
      <c r="L35">
        <v>11126.0831621303</v>
      </c>
      <c r="M35">
        <v>250</v>
      </c>
      <c r="O35">
        <v>44.501482242045498</v>
      </c>
      <c r="P35">
        <v>0.15523647288992901</v>
      </c>
      <c r="Q35">
        <v>1.1105320561632901</v>
      </c>
      <c r="R35">
        <v>0.17432991143631901</v>
      </c>
      <c r="S35" t="s">
        <v>1361</v>
      </c>
      <c r="T35" t="s">
        <v>2650</v>
      </c>
      <c r="U35" t="s">
        <v>2650</v>
      </c>
      <c r="V35" t="s">
        <v>2650</v>
      </c>
      <c r="W35" t="s">
        <v>2685</v>
      </c>
      <c r="X35">
        <v>12</v>
      </c>
      <c r="Y35" t="s">
        <v>4005</v>
      </c>
      <c r="Z35" t="s">
        <v>5315</v>
      </c>
      <c r="AA35">
        <v>1.093927651479313</v>
      </c>
      <c r="AB35" t="str">
        <f>HYPERLINK("Melting_Curves/meltCurve_O00584_RNASET2.pdf", "Melting_Curves/meltCurve_O00584_RNASET2.pdf")</f>
        <v>Melting_Curves/meltCurve_O00584_RNASET2.pdf</v>
      </c>
    </row>
    <row r="36" spans="1:28" x14ac:dyDescent="0.25">
      <c r="A36" t="s">
        <v>40</v>
      </c>
      <c r="B36">
        <v>1</v>
      </c>
      <c r="C36">
        <v>0.92915804002760505</v>
      </c>
      <c r="D36">
        <v>1.2454796411318101</v>
      </c>
      <c r="E36">
        <v>1.6271911663216001</v>
      </c>
      <c r="F36">
        <v>1.1012767425810901</v>
      </c>
      <c r="G36">
        <v>1.16349206349206</v>
      </c>
      <c r="H36">
        <v>0.94623878536922001</v>
      </c>
      <c r="I36">
        <v>1.24592822636301</v>
      </c>
      <c r="J36">
        <v>0.80562456866804699</v>
      </c>
      <c r="K36">
        <v>1.2152864044168401</v>
      </c>
      <c r="L36">
        <v>11098.910267434499</v>
      </c>
      <c r="M36">
        <v>250</v>
      </c>
      <c r="O36">
        <v>44.392800095858803</v>
      </c>
      <c r="P36">
        <v>0.237672450330528</v>
      </c>
      <c r="Q36">
        <v>1.16881512881486</v>
      </c>
      <c r="R36">
        <v>0.13396956616626399</v>
      </c>
      <c r="S36" t="s">
        <v>1362</v>
      </c>
      <c r="T36" t="s">
        <v>2650</v>
      </c>
      <c r="U36" t="s">
        <v>2650</v>
      </c>
      <c r="V36" t="s">
        <v>2650</v>
      </c>
      <c r="W36" t="s">
        <v>2686</v>
      </c>
      <c r="X36">
        <v>1</v>
      </c>
      <c r="Y36" t="s">
        <v>4006</v>
      </c>
      <c r="Z36" t="s">
        <v>5316</v>
      </c>
      <c r="AA36">
        <v>1.144066952030067</v>
      </c>
      <c r="AB36" t="str">
        <f>HYPERLINK("Melting_Curves/meltCurve_O00592_2_PODXL.pdf", "Melting_Curves/meltCurve_O00592_2_PODXL.pdf")</f>
        <v>Melting_Curves/meltCurve_O00592_2_PODXL.pdf</v>
      </c>
    </row>
    <row r="37" spans="1:28" x14ac:dyDescent="0.25">
      <c r="A37" t="s">
        <v>41</v>
      </c>
      <c r="B37">
        <v>1</v>
      </c>
      <c r="C37">
        <v>0.75308132638853098</v>
      </c>
      <c r="D37">
        <v>1.17946470011861</v>
      </c>
      <c r="E37">
        <v>1.3164870300654901</v>
      </c>
      <c r="F37">
        <v>1.03542880717859</v>
      </c>
      <c r="G37">
        <v>0.97612294363364405</v>
      </c>
      <c r="H37">
        <v>0.91062864215357597</v>
      </c>
      <c r="I37">
        <v>1.0034036408643201</v>
      </c>
      <c r="J37">
        <v>0.632200505389098</v>
      </c>
      <c r="K37">
        <v>0.89381671909648797</v>
      </c>
      <c r="L37">
        <v>15000</v>
      </c>
      <c r="M37">
        <v>230.52490110350899</v>
      </c>
      <c r="O37">
        <v>65.063994705479899</v>
      </c>
      <c r="P37">
        <v>-0.20990206665438099</v>
      </c>
      <c r="Q37">
        <v>0.76302660597121497</v>
      </c>
      <c r="R37">
        <v>0.302943503600136</v>
      </c>
      <c r="S37" t="s">
        <v>1363</v>
      </c>
      <c r="T37" t="s">
        <v>2650</v>
      </c>
      <c r="U37" t="s">
        <v>2650</v>
      </c>
      <c r="V37" t="s">
        <v>2650</v>
      </c>
      <c r="W37" t="s">
        <v>2687</v>
      </c>
      <c r="X37">
        <v>4</v>
      </c>
      <c r="Y37" t="s">
        <v>4007</v>
      </c>
      <c r="Z37" t="s">
        <v>5317</v>
      </c>
      <c r="AA37">
        <v>0.96108045132508879</v>
      </c>
      <c r="AB37" t="str">
        <f>HYPERLINK("Melting_Curves/meltCurve_O00622_CYR61.pdf", "Melting_Curves/meltCurve_O00622_CYR61.pdf")</f>
        <v>Melting_Curves/meltCurve_O00622_CYR61.pdf</v>
      </c>
    </row>
    <row r="38" spans="1:28" x14ac:dyDescent="0.25">
      <c r="A38" t="s">
        <v>42</v>
      </c>
      <c r="B38">
        <v>1</v>
      </c>
      <c r="C38">
        <v>0.86874038625875905</v>
      </c>
      <c r="D38">
        <v>1.10605024782089</v>
      </c>
      <c r="E38">
        <v>1.6635617843103701</v>
      </c>
      <c r="F38">
        <v>1.5367458554093301</v>
      </c>
      <c r="G38">
        <v>2.0231584344556501</v>
      </c>
      <c r="H38">
        <v>2.4484703469492399</v>
      </c>
      <c r="I38">
        <v>3.6768073833532702</v>
      </c>
      <c r="J38">
        <v>2.74115535805845</v>
      </c>
      <c r="K38">
        <v>3.7261151939839299</v>
      </c>
      <c r="L38">
        <v>11560.366274264699</v>
      </c>
      <c r="M38">
        <v>250</v>
      </c>
      <c r="O38">
        <v>46.238505989399698</v>
      </c>
      <c r="P38">
        <v>0.675843637128272</v>
      </c>
      <c r="Q38">
        <v>1.5</v>
      </c>
      <c r="R38">
        <v>-0.25964120540497299</v>
      </c>
      <c r="S38" t="s">
        <v>1364</v>
      </c>
      <c r="T38" t="s">
        <v>2650</v>
      </c>
      <c r="U38" t="s">
        <v>2650</v>
      </c>
      <c r="V38" t="s">
        <v>2650</v>
      </c>
      <c r="W38" t="s">
        <v>2688</v>
      </c>
      <c r="X38">
        <v>3</v>
      </c>
      <c r="Y38" t="s">
        <v>4008</v>
      </c>
      <c r="Z38" t="s">
        <v>5318</v>
      </c>
      <c r="AA38">
        <v>1.395935005189916</v>
      </c>
      <c r="AB38" t="str">
        <f>HYPERLINK("Melting_Curves/meltCurve_O00754_2_MAN2B1.pdf", "Melting_Curves/meltCurve_O00754_2_MAN2B1.pdf")</f>
        <v>Melting_Curves/meltCurve_O00754_2_MAN2B1.pdf</v>
      </c>
    </row>
    <row r="39" spans="1:28" x14ac:dyDescent="0.25">
      <c r="A39" t="s">
        <v>43</v>
      </c>
      <c r="B39">
        <v>1</v>
      </c>
      <c r="C39">
        <v>0.78764871098120703</v>
      </c>
      <c r="D39">
        <v>1.0988285799100299</v>
      </c>
      <c r="E39">
        <v>1.5994565341492899</v>
      </c>
      <c r="F39">
        <v>1.41381042632384</v>
      </c>
      <c r="G39">
        <v>1.3545543808371201</v>
      </c>
      <c r="H39">
        <v>1.4420112803416101</v>
      </c>
      <c r="I39">
        <v>1.69810243646245</v>
      </c>
      <c r="J39">
        <v>0.82018815792478195</v>
      </c>
      <c r="K39">
        <v>1.32224328088964</v>
      </c>
      <c r="L39">
        <v>11547.870872470399</v>
      </c>
      <c r="M39">
        <v>250</v>
      </c>
      <c r="O39">
        <v>46.188542438764102</v>
      </c>
      <c r="P39">
        <v>0.51233472518793799</v>
      </c>
      <c r="Q39">
        <v>1.37862378520646</v>
      </c>
      <c r="R39">
        <v>0.417038183929064</v>
      </c>
      <c r="S39" t="s">
        <v>1365</v>
      </c>
      <c r="T39" t="s">
        <v>2650</v>
      </c>
      <c r="U39" t="s">
        <v>2650</v>
      </c>
      <c r="V39" t="s">
        <v>2650</v>
      </c>
      <c r="W39" t="s">
        <v>2689</v>
      </c>
      <c r="X39">
        <v>1</v>
      </c>
      <c r="Y39" t="s">
        <v>4009</v>
      </c>
      <c r="Z39" t="s">
        <v>5319</v>
      </c>
      <c r="AA39">
        <v>1.300451661443206</v>
      </c>
      <c r="AB39" t="str">
        <f>HYPERLINK("Melting_Curves/meltCurve_O14562_UBFD1.pdf", "Melting_Curves/meltCurve_O14562_UBFD1.pdf")</f>
        <v>Melting_Curves/meltCurve_O14562_UBFD1.pdf</v>
      </c>
    </row>
    <row r="40" spans="1:28" x14ac:dyDescent="0.25">
      <c r="A40" t="s">
        <v>44</v>
      </c>
      <c r="B40">
        <v>1</v>
      </c>
      <c r="C40">
        <v>0.69198869850528599</v>
      </c>
      <c r="D40">
        <v>1.18173532628509</v>
      </c>
      <c r="E40">
        <v>1.1297849070360899</v>
      </c>
      <c r="F40">
        <v>0.878873496172074</v>
      </c>
      <c r="G40">
        <v>0.901841049945315</v>
      </c>
      <c r="H40">
        <v>0.78955523149835904</v>
      </c>
      <c r="I40">
        <v>0.92448960991615003</v>
      </c>
      <c r="J40">
        <v>0.70465730951512895</v>
      </c>
      <c r="K40">
        <v>0.90343601895734604</v>
      </c>
      <c r="L40">
        <v>13182.7877992546</v>
      </c>
      <c r="M40">
        <v>250</v>
      </c>
      <c r="O40">
        <v>52.727785129526801</v>
      </c>
      <c r="P40">
        <v>-0.183968824385142</v>
      </c>
      <c r="Q40">
        <v>0.84479572649350099</v>
      </c>
      <c r="R40">
        <v>0.234395090901277</v>
      </c>
      <c r="S40" t="s">
        <v>1366</v>
      </c>
      <c r="T40" t="s">
        <v>2650</v>
      </c>
      <c r="U40" t="s">
        <v>2650</v>
      </c>
      <c r="V40" t="s">
        <v>2650</v>
      </c>
      <c r="W40" t="s">
        <v>2690</v>
      </c>
      <c r="X40">
        <v>3</v>
      </c>
      <c r="Y40" t="s">
        <v>4010</v>
      </c>
      <c r="Z40" t="s">
        <v>5320</v>
      </c>
      <c r="AA40">
        <v>0.91067439187614052</v>
      </c>
      <c r="AB40" t="str">
        <f>HYPERLINK("Melting_Curves/meltCurve_O14638_ENPP3.pdf", "Melting_Curves/meltCurve_O14638_ENPP3.pdf")</f>
        <v>Melting_Curves/meltCurve_O14638_ENPP3.pdf</v>
      </c>
    </row>
    <row r="41" spans="1:28" x14ac:dyDescent="0.25">
      <c r="A41" t="s">
        <v>45</v>
      </c>
      <c r="B41">
        <v>1</v>
      </c>
      <c r="C41">
        <v>0.71528110206903905</v>
      </c>
      <c r="D41">
        <v>1.05435881070156</v>
      </c>
      <c r="E41">
        <v>1.16445933726929</v>
      </c>
      <c r="F41">
        <v>0.86460826551779202</v>
      </c>
      <c r="G41">
        <v>0.88471357906494297</v>
      </c>
      <c r="H41">
        <v>0.79849476091697202</v>
      </c>
      <c r="I41">
        <v>0.96524121057390599</v>
      </c>
      <c r="J41">
        <v>0.57305462475400204</v>
      </c>
      <c r="K41">
        <v>0.80216477846922996</v>
      </c>
      <c r="L41">
        <v>826.99971302515701</v>
      </c>
      <c r="M41">
        <v>13.755788593719799</v>
      </c>
      <c r="O41">
        <v>58.892267683598703</v>
      </c>
      <c r="P41">
        <v>-1.7525551380257999E-2</v>
      </c>
      <c r="Q41">
        <v>0.69991596181501303</v>
      </c>
      <c r="R41">
        <v>0.26418852798602099</v>
      </c>
      <c r="S41" t="s">
        <v>1367</v>
      </c>
      <c r="T41" t="s">
        <v>2650</v>
      </c>
      <c r="U41" t="s">
        <v>2650</v>
      </c>
      <c r="V41" t="s">
        <v>2650</v>
      </c>
      <c r="W41" t="s">
        <v>2691</v>
      </c>
      <c r="X41">
        <v>10</v>
      </c>
      <c r="Y41" t="s">
        <v>4011</v>
      </c>
      <c r="Z41" t="s">
        <v>5321</v>
      </c>
      <c r="AA41">
        <v>0.90266097538268752</v>
      </c>
      <c r="AB41" t="str">
        <f>HYPERLINK("Melting_Curves/meltCurve_O14672_ADAM10.pdf", "Melting_Curves/meltCurve_O14672_ADAM10.pdf")</f>
        <v>Melting_Curves/meltCurve_O14672_ADAM10.pdf</v>
      </c>
    </row>
    <row r="42" spans="1:28" x14ac:dyDescent="0.25">
      <c r="A42" t="s">
        <v>46</v>
      </c>
      <c r="B42">
        <v>1</v>
      </c>
      <c r="C42">
        <v>0.80963457467842104</v>
      </c>
      <c r="D42">
        <v>1.1099765067107099</v>
      </c>
      <c r="E42">
        <v>1.1536833290688699</v>
      </c>
      <c r="F42">
        <v>0.97013328371054397</v>
      </c>
      <c r="G42">
        <v>1.0054662603800799</v>
      </c>
      <c r="H42">
        <v>0.95566513921518503</v>
      </c>
      <c r="I42">
        <v>1.01121164894978</v>
      </c>
      <c r="J42">
        <v>0.74485357400386099</v>
      </c>
      <c r="K42">
        <v>0.95608383149961595</v>
      </c>
      <c r="L42">
        <v>15000</v>
      </c>
      <c r="M42">
        <v>230.17378693534701</v>
      </c>
      <c r="O42">
        <v>65.1632312353495</v>
      </c>
      <c r="P42">
        <v>-0.131994095629764</v>
      </c>
      <c r="Q42">
        <v>0.850527519452282</v>
      </c>
      <c r="R42">
        <v>0.27305745532619902</v>
      </c>
      <c r="S42" t="s">
        <v>1368</v>
      </c>
      <c r="T42" t="s">
        <v>2650</v>
      </c>
      <c r="U42" t="s">
        <v>2650</v>
      </c>
      <c r="V42" t="s">
        <v>2650</v>
      </c>
      <c r="W42" t="s">
        <v>2692</v>
      </c>
      <c r="X42">
        <v>3</v>
      </c>
      <c r="Y42" t="s">
        <v>4012</v>
      </c>
      <c r="Z42" t="s">
        <v>5322</v>
      </c>
      <c r="AA42">
        <v>0.97594588336085242</v>
      </c>
      <c r="AB42" t="str">
        <f>HYPERLINK("Melting_Curves/meltCurve_O14737_PDCD5.pdf", "Melting_Curves/meltCurve_O14737_PDCD5.pdf")</f>
        <v>Melting_Curves/meltCurve_O14737_PDCD5.pdf</v>
      </c>
    </row>
    <row r="43" spans="1:28" x14ac:dyDescent="0.25">
      <c r="A43" t="s">
        <v>47</v>
      </c>
      <c r="B43">
        <v>1</v>
      </c>
      <c r="C43">
        <v>0.73888695494240997</v>
      </c>
      <c r="D43">
        <v>1.0484630170574101</v>
      </c>
      <c r="E43">
        <v>1.23320367483465</v>
      </c>
      <c r="F43">
        <v>0.87336350289839704</v>
      </c>
      <c r="G43">
        <v>1.01869201313738</v>
      </c>
      <c r="H43">
        <v>0.84854172027061803</v>
      </c>
      <c r="I43">
        <v>1.00796113272086</v>
      </c>
      <c r="J43">
        <v>0.62520621755384398</v>
      </c>
      <c r="K43">
        <v>0.865372099710917</v>
      </c>
      <c r="L43">
        <v>1588.50364224537</v>
      </c>
      <c r="M43">
        <v>25.207443677438501</v>
      </c>
      <c r="O43">
        <v>62.624650834674597</v>
      </c>
      <c r="P43">
        <v>-2.40288812839437E-2</v>
      </c>
      <c r="Q43">
        <v>0.76121642560617397</v>
      </c>
      <c r="R43">
        <v>0.215559679923671</v>
      </c>
      <c r="S43" t="s">
        <v>1369</v>
      </c>
      <c r="T43" t="s">
        <v>2650</v>
      </c>
      <c r="U43" t="s">
        <v>2650</v>
      </c>
      <c r="V43" t="s">
        <v>2650</v>
      </c>
      <c r="W43" t="s">
        <v>2693</v>
      </c>
      <c r="X43">
        <v>3</v>
      </c>
      <c r="Y43" t="s">
        <v>4013</v>
      </c>
      <c r="Z43" t="s">
        <v>5323</v>
      </c>
      <c r="AA43">
        <v>0.94496768720997582</v>
      </c>
      <c r="AB43" t="str">
        <f>HYPERLINK("Melting_Curves/meltCurve_O14745_SLC9A3R1.pdf", "Melting_Curves/meltCurve_O14745_SLC9A3R1.pdf")</f>
        <v>Melting_Curves/meltCurve_O14745_SLC9A3R1.pdf</v>
      </c>
    </row>
    <row r="44" spans="1:28" x14ac:dyDescent="0.25">
      <c r="A44" t="s">
        <v>48</v>
      </c>
      <c r="B44">
        <v>1</v>
      </c>
      <c r="C44">
        <v>0.76729982630133897</v>
      </c>
      <c r="D44">
        <v>1.1232139855437899</v>
      </c>
      <c r="E44">
        <v>1.3911021460189399</v>
      </c>
      <c r="F44">
        <v>1.0300890906034601</v>
      </c>
      <c r="G44">
        <v>1.24782876673951</v>
      </c>
      <c r="H44">
        <v>1.1898918585756699</v>
      </c>
      <c r="I44">
        <v>1.53487981173306</v>
      </c>
      <c r="J44">
        <v>1.03473973216787</v>
      </c>
      <c r="K44">
        <v>1.4141312265366699</v>
      </c>
      <c r="L44">
        <v>11505.882852991501</v>
      </c>
      <c r="M44">
        <v>250</v>
      </c>
      <c r="O44">
        <v>46.020586001862199</v>
      </c>
      <c r="P44">
        <v>0.35749968210022598</v>
      </c>
      <c r="Q44">
        <v>1.26323751874079</v>
      </c>
      <c r="R44">
        <v>0.41714131878553601</v>
      </c>
      <c r="S44" t="s">
        <v>1370</v>
      </c>
      <c r="T44" t="s">
        <v>2650</v>
      </c>
      <c r="U44" t="s">
        <v>2650</v>
      </c>
      <c r="V44" t="s">
        <v>2650</v>
      </c>
      <c r="W44" t="s">
        <v>2694</v>
      </c>
      <c r="X44">
        <v>7</v>
      </c>
      <c r="Y44" t="s">
        <v>4014</v>
      </c>
      <c r="Z44" t="s">
        <v>5324</v>
      </c>
      <c r="AA44">
        <v>1.2103622747952649</v>
      </c>
      <c r="AB44" t="str">
        <f>HYPERLINK("Melting_Curves/meltCurve_O14786_3_NRP1.pdf", "Melting_Curves/meltCurve_O14786_3_NRP1.pdf")</f>
        <v>Melting_Curves/meltCurve_O14786_3_NRP1.pdf</v>
      </c>
    </row>
    <row r="45" spans="1:28" x14ac:dyDescent="0.25">
      <c r="A45" t="s">
        <v>49</v>
      </c>
      <c r="B45">
        <v>1</v>
      </c>
      <c r="C45">
        <v>0.76614238410596003</v>
      </c>
      <c r="D45">
        <v>1.2448557237464499</v>
      </c>
      <c r="E45">
        <v>1.53606906338694</v>
      </c>
      <c r="F45">
        <v>1.3948084200567601</v>
      </c>
      <c r="G45">
        <v>1.6564569536423801</v>
      </c>
      <c r="H45">
        <v>1.8823912015137201</v>
      </c>
      <c r="I45">
        <v>2.4434129612109698</v>
      </c>
      <c r="J45">
        <v>1.5442289498580899</v>
      </c>
      <c r="K45">
        <v>2.1750236518448398</v>
      </c>
      <c r="L45">
        <v>11501.8933658683</v>
      </c>
      <c r="M45">
        <v>250</v>
      </c>
      <c r="O45">
        <v>46.004629232205801</v>
      </c>
      <c r="P45">
        <v>0.67927946650235005</v>
      </c>
      <c r="Q45">
        <v>1.5</v>
      </c>
      <c r="R45">
        <v>0.32333513643477702</v>
      </c>
      <c r="S45" t="s">
        <v>1371</v>
      </c>
      <c r="T45" t="s">
        <v>2650</v>
      </c>
      <c r="U45" t="s">
        <v>2650</v>
      </c>
      <c r="V45" t="s">
        <v>2650</v>
      </c>
      <c r="W45" t="s">
        <v>2695</v>
      </c>
      <c r="X45">
        <v>8</v>
      </c>
      <c r="Y45" t="s">
        <v>4015</v>
      </c>
      <c r="Z45" t="s">
        <v>5325</v>
      </c>
      <c r="AA45">
        <v>1.3998334043210841</v>
      </c>
      <c r="AB45" t="str">
        <f>HYPERLINK("Melting_Curves/meltCurve_O14818_PSMA7.pdf", "Melting_Curves/meltCurve_O14818_PSMA7.pdf")</f>
        <v>Melting_Curves/meltCurve_O14818_PSMA7.pdf</v>
      </c>
    </row>
    <row r="46" spans="1:28" x14ac:dyDescent="0.25">
      <c r="A46" t="s">
        <v>50</v>
      </c>
      <c r="B46">
        <v>1</v>
      </c>
      <c r="C46">
        <v>0.857745139912649</v>
      </c>
      <c r="D46">
        <v>1.29660654992353</v>
      </c>
      <c r="E46">
        <v>1.7438448078698301</v>
      </c>
      <c r="F46">
        <v>1.6359653352805801</v>
      </c>
      <c r="G46">
        <v>1.83188437745415</v>
      </c>
      <c r="H46">
        <v>1.7879334812140899</v>
      </c>
      <c r="I46">
        <v>2.3659084333365499</v>
      </c>
      <c r="J46">
        <v>1.3677959796640999</v>
      </c>
      <c r="K46">
        <v>1.95491933150549</v>
      </c>
      <c r="L46">
        <v>11482.645849979001</v>
      </c>
      <c r="M46">
        <v>250</v>
      </c>
      <c r="O46">
        <v>45.927644851012801</v>
      </c>
      <c r="P46">
        <v>0.68041809277959198</v>
      </c>
      <c r="Q46">
        <v>1.5</v>
      </c>
      <c r="R46">
        <v>0.32619633293326999</v>
      </c>
      <c r="S46" t="s">
        <v>1372</v>
      </c>
      <c r="T46" t="s">
        <v>2650</v>
      </c>
      <c r="U46" t="s">
        <v>2650</v>
      </c>
      <c r="V46" t="s">
        <v>2650</v>
      </c>
      <c r="W46" t="s">
        <v>2696</v>
      </c>
      <c r="X46">
        <v>4</v>
      </c>
      <c r="Y46" t="s">
        <v>4016</v>
      </c>
      <c r="Z46" t="s">
        <v>5326</v>
      </c>
      <c r="AA46">
        <v>1.401116639605219</v>
      </c>
      <c r="AB46" t="str">
        <f>HYPERLINK("Melting_Curves/meltCurve_O15031_PLXNB2.pdf", "Melting_Curves/meltCurve_O15031_PLXNB2.pdf")</f>
        <v>Melting_Curves/meltCurve_O15031_PLXNB2.pdf</v>
      </c>
    </row>
    <row r="47" spans="1:28" x14ac:dyDescent="0.25">
      <c r="A47" t="s">
        <v>51</v>
      </c>
      <c r="B47">
        <v>1</v>
      </c>
      <c r="C47">
        <v>0.78142731559178502</v>
      </c>
      <c r="D47">
        <v>1.3155718053224601</v>
      </c>
      <c r="E47">
        <v>1.54585231359386</v>
      </c>
      <c r="F47">
        <v>1.2386118436825699</v>
      </c>
      <c r="G47">
        <v>1.1713218253016899</v>
      </c>
      <c r="H47">
        <v>1.1171781347398699</v>
      </c>
      <c r="I47">
        <v>1.2527171741389</v>
      </c>
      <c r="J47">
        <v>0.80614161272276796</v>
      </c>
      <c r="K47">
        <v>1.09250379605211</v>
      </c>
      <c r="L47">
        <v>11113.285657561401</v>
      </c>
      <c r="M47">
        <v>250</v>
      </c>
      <c r="O47">
        <v>44.450297899649598</v>
      </c>
      <c r="P47">
        <v>0.27067591516824901</v>
      </c>
      <c r="Q47">
        <v>1.1925060008955</v>
      </c>
      <c r="R47">
        <v>0.25335701996916599</v>
      </c>
      <c r="S47" t="s">
        <v>1373</v>
      </c>
      <c r="T47" t="s">
        <v>2650</v>
      </c>
      <c r="U47" t="s">
        <v>2650</v>
      </c>
      <c r="V47" t="s">
        <v>2650</v>
      </c>
      <c r="W47" t="s">
        <v>2697</v>
      </c>
      <c r="X47">
        <v>1</v>
      </c>
      <c r="Y47" t="s">
        <v>4017</v>
      </c>
      <c r="Z47" t="s">
        <v>5327</v>
      </c>
      <c r="AA47">
        <v>1.1639157599830869</v>
      </c>
      <c r="AB47" t="str">
        <f>HYPERLINK("Melting_Curves/meltCurve_O15078_2_CEP290.pdf", "Melting_Curves/meltCurve_O15078_2_CEP290.pdf")</f>
        <v>Melting_Curves/meltCurve_O15078_2_CEP290.pdf</v>
      </c>
    </row>
    <row r="48" spans="1:28" x14ac:dyDescent="0.25">
      <c r="A48" t="s">
        <v>52</v>
      </c>
      <c r="B48">
        <v>1</v>
      </c>
      <c r="C48">
        <v>0.86400197655585198</v>
      </c>
      <c r="D48">
        <v>1.05517885085239</v>
      </c>
      <c r="E48">
        <v>1.1846981634501901</v>
      </c>
      <c r="F48">
        <v>1.2948362478381401</v>
      </c>
      <c r="G48">
        <v>1.41551596343372</v>
      </c>
      <c r="H48">
        <v>1.3884481291349799</v>
      </c>
      <c r="I48">
        <v>2.3362890163889398</v>
      </c>
      <c r="J48">
        <v>1.9584648749553899</v>
      </c>
      <c r="K48">
        <v>2.6470475196969301</v>
      </c>
      <c r="L48">
        <v>1442.94875754963</v>
      </c>
      <c r="M48">
        <v>27.9642415198214</v>
      </c>
      <c r="O48">
        <v>51.338090121649302</v>
      </c>
      <c r="P48">
        <v>6.8089045180926094E-2</v>
      </c>
      <c r="Q48">
        <v>1.5</v>
      </c>
      <c r="R48">
        <v>0.29925088043180398</v>
      </c>
      <c r="S48" t="s">
        <v>1374</v>
      </c>
      <c r="T48" t="s">
        <v>2650</v>
      </c>
      <c r="U48" t="s">
        <v>2650</v>
      </c>
      <c r="V48" t="s">
        <v>2650</v>
      </c>
      <c r="W48" t="s">
        <v>2698</v>
      </c>
      <c r="X48">
        <v>2</v>
      </c>
      <c r="Y48" t="s">
        <v>4018</v>
      </c>
      <c r="Z48" t="s">
        <v>5328</v>
      </c>
      <c r="AA48">
        <v>1.3030208452442149</v>
      </c>
      <c r="AB48" t="str">
        <f>HYPERLINK("Melting_Curves/meltCurve_O15144_ARPC2.pdf", "Melting_Curves/meltCurve_O15144_ARPC2.pdf")</f>
        <v>Melting_Curves/meltCurve_O15144_ARPC2.pdf</v>
      </c>
    </row>
    <row r="49" spans="1:28" x14ac:dyDescent="0.25">
      <c r="A49" t="s">
        <v>53</v>
      </c>
      <c r="B49">
        <v>1</v>
      </c>
      <c r="C49">
        <v>0.56764381667694297</v>
      </c>
      <c r="D49">
        <v>0.99964501242456505</v>
      </c>
      <c r="E49">
        <v>1.0437755731181</v>
      </c>
      <c r="F49">
        <v>0.81609775236814097</v>
      </c>
      <c r="G49">
        <v>0.89501709545429098</v>
      </c>
      <c r="H49">
        <v>0.86904695177774005</v>
      </c>
      <c r="I49">
        <v>0.88212544139902505</v>
      </c>
      <c r="J49">
        <v>0.54980102012219001</v>
      </c>
      <c r="K49">
        <v>0.91173887861293301</v>
      </c>
      <c r="L49">
        <v>86.307991963402102</v>
      </c>
      <c r="M49">
        <v>1.0000000000000001E-5</v>
      </c>
      <c r="Q49">
        <v>0.139399527575788</v>
      </c>
      <c r="R49">
        <v>3.71169995156483E-2</v>
      </c>
      <c r="S49" t="s">
        <v>1375</v>
      </c>
      <c r="T49" t="s">
        <v>2650</v>
      </c>
      <c r="U49" t="s">
        <v>2650</v>
      </c>
      <c r="V49" t="s">
        <v>2650</v>
      </c>
      <c r="W49" t="s">
        <v>2699</v>
      </c>
      <c r="X49">
        <v>1</v>
      </c>
      <c r="Y49" t="s">
        <v>4019</v>
      </c>
      <c r="Z49" t="s">
        <v>5329</v>
      </c>
      <c r="AA49">
        <v>0.85394876904735117</v>
      </c>
      <c r="AB49" t="str">
        <f>HYPERLINK("Melting_Curves/meltCurve_O15204_2_ADAMDEC1.pdf", "Melting_Curves/meltCurve_O15204_2_ADAMDEC1.pdf")</f>
        <v>Melting_Curves/meltCurve_O15204_2_ADAMDEC1.pdf</v>
      </c>
    </row>
    <row r="50" spans="1:28" x14ac:dyDescent="0.25">
      <c r="A50" t="s">
        <v>54</v>
      </c>
      <c r="B50">
        <v>1</v>
      </c>
      <c r="C50">
        <v>0.73258137878753105</v>
      </c>
      <c r="D50">
        <v>1.10982977648113</v>
      </c>
      <c r="E50">
        <v>1.2969378144310999</v>
      </c>
      <c r="F50">
        <v>1.0800578897797</v>
      </c>
      <c r="G50">
        <v>1.1880958397463901</v>
      </c>
      <c r="H50">
        <v>0.97257127104821794</v>
      </c>
      <c r="I50">
        <v>1.2342468585605699</v>
      </c>
      <c r="J50">
        <v>0.72376007902414397</v>
      </c>
      <c r="K50">
        <v>1.0533872412763301</v>
      </c>
      <c r="L50">
        <v>2718.5920531897</v>
      </c>
      <c r="M50">
        <v>41.288867649493</v>
      </c>
      <c r="O50">
        <v>65.689331218600202</v>
      </c>
      <c r="P50">
        <v>-9.5664146396713806E-3</v>
      </c>
      <c r="Q50">
        <v>0.93912061356064502</v>
      </c>
      <c r="R50">
        <v>-3.1025720056451201E-2</v>
      </c>
      <c r="S50" t="s">
        <v>1376</v>
      </c>
      <c r="T50" t="s">
        <v>2650</v>
      </c>
      <c r="U50" t="s">
        <v>2650</v>
      </c>
      <c r="V50" t="s">
        <v>2650</v>
      </c>
      <c r="W50" t="s">
        <v>2700</v>
      </c>
      <c r="X50">
        <v>3</v>
      </c>
      <c r="Y50" t="s">
        <v>4020</v>
      </c>
      <c r="Z50" t="s">
        <v>5330</v>
      </c>
      <c r="AA50">
        <v>0.99150508773680757</v>
      </c>
      <c r="AB50" t="str">
        <f>HYPERLINK("Melting_Curves/meltCurve_O15212_PFDN6.pdf", "Melting_Curves/meltCurve_O15212_PFDN6.pdf")</f>
        <v>Melting_Curves/meltCurve_O15212_PFDN6.pdf</v>
      </c>
    </row>
    <row r="51" spans="1:28" x14ac:dyDescent="0.25">
      <c r="A51" t="s">
        <v>55</v>
      </c>
      <c r="B51">
        <v>1</v>
      </c>
      <c r="C51">
        <v>0.73085445694141304</v>
      </c>
      <c r="D51">
        <v>1.0122544905153601</v>
      </c>
      <c r="E51">
        <v>1.2499580325667301</v>
      </c>
      <c r="F51">
        <v>1.03978512674165</v>
      </c>
      <c r="G51">
        <v>1.1212019472889001</v>
      </c>
      <c r="H51">
        <v>1.02299815343294</v>
      </c>
      <c r="I51">
        <v>1.4602988081249</v>
      </c>
      <c r="J51">
        <v>1.0227463488333099</v>
      </c>
      <c r="K51">
        <v>1.35789827094175</v>
      </c>
      <c r="L51">
        <v>469.25039638959697</v>
      </c>
      <c r="M51">
        <v>7.2829982201681096</v>
      </c>
      <c r="O51">
        <v>60.106145830133102</v>
      </c>
      <c r="P51">
        <v>1.30028968096757E-2</v>
      </c>
      <c r="Q51">
        <v>1.4285616991373</v>
      </c>
      <c r="R51">
        <v>0.32626901443454598</v>
      </c>
      <c r="S51" t="s">
        <v>1377</v>
      </c>
      <c r="T51" t="s">
        <v>2650</v>
      </c>
      <c r="U51" t="s">
        <v>2650</v>
      </c>
      <c r="V51" t="s">
        <v>2650</v>
      </c>
      <c r="W51" t="s">
        <v>2701</v>
      </c>
      <c r="X51">
        <v>14</v>
      </c>
      <c r="Y51" t="s">
        <v>4021</v>
      </c>
      <c r="Z51" t="s">
        <v>5331</v>
      </c>
      <c r="AA51">
        <v>1.1125807199537621</v>
      </c>
      <c r="AB51" t="str">
        <f>HYPERLINK("Melting_Curves/meltCurve_O15230_LAMA5.pdf", "Melting_Curves/meltCurve_O15230_LAMA5.pdf")</f>
        <v>Melting_Curves/meltCurve_O15230_LAMA5.pdf</v>
      </c>
    </row>
    <row r="52" spans="1:28" x14ac:dyDescent="0.25">
      <c r="A52" t="s">
        <v>56</v>
      </c>
      <c r="B52">
        <v>1</v>
      </c>
      <c r="C52">
        <v>0.68416249831012599</v>
      </c>
      <c r="D52">
        <v>1.04221305934838</v>
      </c>
      <c r="E52">
        <v>1.2820738137082599</v>
      </c>
      <c r="F52">
        <v>0.84524131404623504</v>
      </c>
      <c r="G52">
        <v>0.94399756658104605</v>
      </c>
      <c r="H52">
        <v>0.94058402054887102</v>
      </c>
      <c r="I52">
        <v>0.99087467892388803</v>
      </c>
      <c r="J52">
        <v>0.57131269433554099</v>
      </c>
      <c r="K52">
        <v>0.82445586048398001</v>
      </c>
      <c r="L52">
        <v>15000</v>
      </c>
      <c r="M52">
        <v>231.14817609615699</v>
      </c>
      <c r="O52">
        <v>64.888574752020304</v>
      </c>
      <c r="P52">
        <v>-0.26906513654826297</v>
      </c>
      <c r="Q52">
        <v>0.69786904328916299</v>
      </c>
      <c r="R52">
        <v>0.30300444696031198</v>
      </c>
      <c r="S52" t="s">
        <v>1378</v>
      </c>
      <c r="T52" t="s">
        <v>2650</v>
      </c>
      <c r="U52" t="s">
        <v>2650</v>
      </c>
      <c r="V52" t="s">
        <v>2650</v>
      </c>
      <c r="W52" t="s">
        <v>2702</v>
      </c>
      <c r="X52">
        <v>1</v>
      </c>
      <c r="Y52" t="s">
        <v>4022</v>
      </c>
      <c r="Z52" t="s">
        <v>5332</v>
      </c>
      <c r="AA52">
        <v>0.94861191005049905</v>
      </c>
      <c r="AB52" t="str">
        <f>HYPERLINK("Melting_Curves/meltCurve_O15231_5_ZNF185.pdf", "Melting_Curves/meltCurve_O15231_5_ZNF185.pdf")</f>
        <v>Melting_Curves/meltCurve_O15231_5_ZNF185.pdf</v>
      </c>
    </row>
    <row r="53" spans="1:28" x14ac:dyDescent="0.25">
      <c r="A53" t="s">
        <v>57</v>
      </c>
      <c r="B53">
        <v>1</v>
      </c>
      <c r="C53">
        <v>0.73329860658940005</v>
      </c>
      <c r="D53">
        <v>1.1581976819898401</v>
      </c>
      <c r="E53">
        <v>1.3632243781742399</v>
      </c>
      <c r="F53">
        <v>0.99802057559578095</v>
      </c>
      <c r="G53">
        <v>1.0688110431045701</v>
      </c>
      <c r="H53">
        <v>1.06180492251595</v>
      </c>
      <c r="I53">
        <v>1.2994400312540699</v>
      </c>
      <c r="J53">
        <v>0.73405391326995695</v>
      </c>
      <c r="K53">
        <v>1.0582367495767699</v>
      </c>
      <c r="L53">
        <v>11131.624123932599</v>
      </c>
      <c r="M53">
        <v>250</v>
      </c>
      <c r="O53">
        <v>44.523647421224901</v>
      </c>
      <c r="P53">
        <v>0.130158704412043</v>
      </c>
      <c r="Q53">
        <v>1.09272224343735</v>
      </c>
      <c r="R53">
        <v>0.12227505372469</v>
      </c>
      <c r="S53" t="s">
        <v>1379</v>
      </c>
      <c r="T53" t="s">
        <v>2650</v>
      </c>
      <c r="U53" t="s">
        <v>2650</v>
      </c>
      <c r="V53" t="s">
        <v>2650</v>
      </c>
      <c r="W53" t="s">
        <v>2703</v>
      </c>
      <c r="X53">
        <v>3</v>
      </c>
      <c r="Y53" t="s">
        <v>4023</v>
      </c>
      <c r="Z53" t="s">
        <v>5333</v>
      </c>
      <c r="AA53">
        <v>1.0787247674812579</v>
      </c>
      <c r="AB53" t="str">
        <f>HYPERLINK("Melting_Curves/meltCurve_O15232_2_MATN3.pdf", "Melting_Curves/meltCurve_O15232_2_MATN3.pdf")</f>
        <v>Melting_Curves/meltCurve_O15232_2_MATN3.pdf</v>
      </c>
    </row>
    <row r="54" spans="1:28" x14ac:dyDescent="0.25">
      <c r="A54" t="s">
        <v>58</v>
      </c>
      <c r="B54">
        <v>1</v>
      </c>
      <c r="C54">
        <v>0.84278990475484605</v>
      </c>
      <c r="D54">
        <v>1.7013304673312799</v>
      </c>
      <c r="E54">
        <v>2.7301634362376301</v>
      </c>
      <c r="F54">
        <v>3.01634362376311</v>
      </c>
      <c r="G54">
        <v>2.5953007449134602</v>
      </c>
      <c r="H54">
        <v>2.4613275025015802</v>
      </c>
      <c r="I54">
        <v>2.9060148982692802</v>
      </c>
      <c r="J54">
        <v>2.2002001260052602</v>
      </c>
      <c r="K54">
        <v>2.5764740762702401</v>
      </c>
      <c r="L54">
        <v>11095.0482439553</v>
      </c>
      <c r="M54">
        <v>250</v>
      </c>
      <c r="O54">
        <v>44.377353029724198</v>
      </c>
      <c r="P54">
        <v>0.70418801410713106</v>
      </c>
      <c r="Q54">
        <v>1.5</v>
      </c>
      <c r="R54">
        <v>-0.80198251219917105</v>
      </c>
      <c r="S54" t="s">
        <v>1380</v>
      </c>
      <c r="T54" t="s">
        <v>2650</v>
      </c>
      <c r="U54" t="s">
        <v>2650</v>
      </c>
      <c r="V54" t="s">
        <v>2650</v>
      </c>
      <c r="W54" t="s">
        <v>2704</v>
      </c>
      <c r="X54">
        <v>1</v>
      </c>
      <c r="Y54" t="s">
        <v>4024</v>
      </c>
      <c r="Z54" t="s">
        <v>5334</v>
      </c>
      <c r="AA54">
        <v>1.426957840462328</v>
      </c>
      <c r="AB54" t="str">
        <f>HYPERLINK("Melting_Curves/meltCurve_O15335_CHAD.pdf", "Melting_Curves/meltCurve_O15335_CHAD.pdf")</f>
        <v>Melting_Curves/meltCurve_O15335_CHAD.pdf</v>
      </c>
    </row>
    <row r="55" spans="1:28" x14ac:dyDescent="0.25">
      <c r="A55" t="s">
        <v>59</v>
      </c>
      <c r="B55">
        <v>1</v>
      </c>
      <c r="C55">
        <v>0.92789199431548997</v>
      </c>
      <c r="D55">
        <v>1.34277593557556</v>
      </c>
      <c r="E55">
        <v>1.3218379914732401</v>
      </c>
      <c r="F55">
        <v>1.45447655139744</v>
      </c>
      <c r="G55">
        <v>1.7517764092846999</v>
      </c>
      <c r="H55">
        <v>1.3620085267645701</v>
      </c>
      <c r="I55">
        <v>1.73576504026528</v>
      </c>
      <c r="J55">
        <v>1.3402179062055899</v>
      </c>
      <c r="K55">
        <v>1.58815727143534</v>
      </c>
      <c r="L55">
        <v>11464.147373730601</v>
      </c>
      <c r="M55">
        <v>250</v>
      </c>
      <c r="O55">
        <v>45.853656152422502</v>
      </c>
      <c r="P55">
        <v>0.68151601113905702</v>
      </c>
      <c r="Q55">
        <v>1.5</v>
      </c>
      <c r="R55">
        <v>0.68563584771306196</v>
      </c>
      <c r="S55" t="s">
        <v>1381</v>
      </c>
      <c r="T55" t="s">
        <v>2650</v>
      </c>
      <c r="U55" t="s">
        <v>2650</v>
      </c>
      <c r="V55" t="s">
        <v>2650</v>
      </c>
      <c r="W55" t="s">
        <v>2705</v>
      </c>
      <c r="X55">
        <v>4</v>
      </c>
      <c r="Y55" t="s">
        <v>4025</v>
      </c>
      <c r="Z55" t="s">
        <v>5335</v>
      </c>
      <c r="AA55">
        <v>1.402349936284188</v>
      </c>
      <c r="AB55" t="str">
        <f>HYPERLINK("Melting_Curves/meltCurve_O15393_TMPRSS2.pdf", "Melting_Curves/meltCurve_O15393_TMPRSS2.pdf")</f>
        <v>Melting_Curves/meltCurve_O15393_TMPRSS2.pdf</v>
      </c>
    </row>
    <row r="56" spans="1:28" x14ac:dyDescent="0.25">
      <c r="A56" t="s">
        <v>60</v>
      </c>
      <c r="B56">
        <v>1</v>
      </c>
      <c r="C56">
        <v>0.84541956489566406</v>
      </c>
      <c r="D56">
        <v>1.17400473582951</v>
      </c>
      <c r="E56">
        <v>1.41445907947314</v>
      </c>
      <c r="F56">
        <v>1.34664052094125</v>
      </c>
      <c r="G56">
        <v>1.33202604706231</v>
      </c>
      <c r="H56">
        <v>1.2038071629421301</v>
      </c>
      <c r="I56">
        <v>1.4585984904543401</v>
      </c>
      <c r="J56">
        <v>0.96437028266982405</v>
      </c>
      <c r="K56">
        <v>1.29217848157466</v>
      </c>
      <c r="L56">
        <v>11480.318904853601</v>
      </c>
      <c r="M56">
        <v>250</v>
      </c>
      <c r="O56">
        <v>45.918337601660497</v>
      </c>
      <c r="P56">
        <v>0.39123805100526199</v>
      </c>
      <c r="Q56">
        <v>1.2874400102008601</v>
      </c>
      <c r="R56">
        <v>0.51271954101803097</v>
      </c>
      <c r="S56" t="s">
        <v>1382</v>
      </c>
      <c r="T56" t="s">
        <v>2650</v>
      </c>
      <c r="U56" t="s">
        <v>2650</v>
      </c>
      <c r="V56" t="s">
        <v>2650</v>
      </c>
      <c r="W56" t="s">
        <v>2706</v>
      </c>
      <c r="X56">
        <v>3</v>
      </c>
      <c r="Y56" t="s">
        <v>4026</v>
      </c>
      <c r="Z56" t="s">
        <v>5336</v>
      </c>
      <c r="AA56">
        <v>1.230683127605791</v>
      </c>
      <c r="AB56" t="str">
        <f>HYPERLINK("Melting_Curves/meltCurve_O15394_NCAM2.pdf", "Melting_Curves/meltCurve_O15394_NCAM2.pdf")</f>
        <v>Melting_Curves/meltCurve_O15394_NCAM2.pdf</v>
      </c>
    </row>
    <row r="57" spans="1:28" x14ac:dyDescent="0.25">
      <c r="A57" t="s">
        <v>61</v>
      </c>
      <c r="B57">
        <v>1</v>
      </c>
      <c r="C57">
        <v>0.84157145093128805</v>
      </c>
      <c r="D57">
        <v>1.42724474356968</v>
      </c>
      <c r="E57">
        <v>1.94949653049512</v>
      </c>
      <c r="F57">
        <v>1.71190066259717</v>
      </c>
      <c r="G57">
        <v>1.78650806072938</v>
      </c>
      <c r="H57">
        <v>1.7549955652945199</v>
      </c>
      <c r="I57">
        <v>1.9789221057025099</v>
      </c>
      <c r="J57">
        <v>1.33270725726509</v>
      </c>
      <c r="K57">
        <v>1.77878645588772</v>
      </c>
      <c r="L57">
        <v>11418.5683255936</v>
      </c>
      <c r="M57">
        <v>250</v>
      </c>
      <c r="O57">
        <v>45.671350470926299</v>
      </c>
      <c r="P57">
        <v>0.68423639168687</v>
      </c>
      <c r="Q57">
        <v>1.5</v>
      </c>
      <c r="R57">
        <v>0.45595977467917997</v>
      </c>
      <c r="S57" t="s">
        <v>1383</v>
      </c>
      <c r="T57" t="s">
        <v>2650</v>
      </c>
      <c r="U57" t="s">
        <v>2650</v>
      </c>
      <c r="V57" t="s">
        <v>2650</v>
      </c>
      <c r="W57" t="s">
        <v>2707</v>
      </c>
      <c r="X57">
        <v>1</v>
      </c>
      <c r="Y57" t="s">
        <v>4027</v>
      </c>
      <c r="Z57" t="s">
        <v>5337</v>
      </c>
      <c r="AA57">
        <v>1.4053886994743621</v>
      </c>
      <c r="AB57" t="str">
        <f>HYPERLINK("Melting_Curves/meltCurve_O15498_2_YKT6.pdf", "Melting_Curves/meltCurve_O15498_2_YKT6.pdf")</f>
        <v>Melting_Curves/meltCurve_O15498_2_YKT6.pdf</v>
      </c>
    </row>
    <row r="58" spans="1:28" x14ac:dyDescent="0.25">
      <c r="A58" t="s">
        <v>62</v>
      </c>
      <c r="B58">
        <v>1</v>
      </c>
      <c r="C58">
        <v>1.0661349826388899</v>
      </c>
      <c r="D58">
        <v>1.3457845052083299</v>
      </c>
      <c r="E58">
        <v>2.0405815972222201</v>
      </c>
      <c r="F58">
        <v>1.6664225260416701</v>
      </c>
      <c r="G58">
        <v>2.1358778211805598</v>
      </c>
      <c r="H58">
        <v>1.9875217013888899</v>
      </c>
      <c r="I58">
        <v>2.6644422743055598</v>
      </c>
      <c r="J58">
        <v>1.99376085069444</v>
      </c>
      <c r="K58">
        <v>2.5679796006944402</v>
      </c>
      <c r="L58">
        <v>3511.98422327443</v>
      </c>
      <c r="M58">
        <v>77.203898841272306</v>
      </c>
      <c r="O58">
        <v>45.459237540322</v>
      </c>
      <c r="P58">
        <v>0.21228886303760799</v>
      </c>
      <c r="Q58">
        <v>1.5</v>
      </c>
      <c r="R58">
        <v>-0.25170340999843999</v>
      </c>
      <c r="S58" t="s">
        <v>1384</v>
      </c>
      <c r="T58" t="s">
        <v>2650</v>
      </c>
      <c r="U58" t="s">
        <v>2650</v>
      </c>
      <c r="V58" t="s">
        <v>2650</v>
      </c>
      <c r="W58" t="s">
        <v>2708</v>
      </c>
      <c r="X58">
        <v>1</v>
      </c>
      <c r="Y58" t="s">
        <v>4028</v>
      </c>
      <c r="Z58" t="s">
        <v>5338</v>
      </c>
      <c r="AA58">
        <v>1.4080849337144801</v>
      </c>
      <c r="AB58" t="str">
        <f>HYPERLINK("Melting_Curves/meltCurve_O15511_ARPC5.pdf", "Melting_Curves/meltCurve_O15511_ARPC5.pdf")</f>
        <v>Melting_Curves/meltCurve_O15511_ARPC5.pdf</v>
      </c>
    </row>
    <row r="59" spans="1:28" x14ac:dyDescent="0.25">
      <c r="A59" t="s">
        <v>63</v>
      </c>
      <c r="B59">
        <v>1</v>
      </c>
      <c r="C59">
        <v>0.68865223155103805</v>
      </c>
      <c r="D59">
        <v>1.04065399911622</v>
      </c>
      <c r="E59">
        <v>1.2316394167034901</v>
      </c>
      <c r="F59">
        <v>1.01599646486964</v>
      </c>
      <c r="G59">
        <v>1.05771100309324</v>
      </c>
      <c r="H59">
        <v>1.1368095448519699</v>
      </c>
      <c r="I59">
        <v>1.45267344233319</v>
      </c>
      <c r="J59">
        <v>0.84692885550154695</v>
      </c>
      <c r="K59">
        <v>1.19558108705259</v>
      </c>
      <c r="L59">
        <v>11538.1894397949</v>
      </c>
      <c r="M59">
        <v>250</v>
      </c>
      <c r="O59">
        <v>46.149790033334199</v>
      </c>
      <c r="P59">
        <v>0.18134649975053399</v>
      </c>
      <c r="Q59">
        <v>1.13390568759412</v>
      </c>
      <c r="R59">
        <v>0.20853347207169901</v>
      </c>
      <c r="S59" t="s">
        <v>1385</v>
      </c>
      <c r="T59" t="s">
        <v>2650</v>
      </c>
      <c r="U59" t="s">
        <v>2650</v>
      </c>
      <c r="V59" t="s">
        <v>2650</v>
      </c>
      <c r="W59" t="s">
        <v>2709</v>
      </c>
      <c r="X59">
        <v>8</v>
      </c>
      <c r="Y59" t="s">
        <v>4029</v>
      </c>
      <c r="Z59" t="s">
        <v>5339</v>
      </c>
      <c r="AA59">
        <v>1.106431866307287</v>
      </c>
      <c r="AB59" t="str">
        <f>HYPERLINK("Melting_Curves/meltCurve_O43175_PHGDH.pdf", "Melting_Curves/meltCurve_O43175_PHGDH.pdf")</f>
        <v>Melting_Curves/meltCurve_O43175_PHGDH.pdf</v>
      </c>
    </row>
    <row r="60" spans="1:28" x14ac:dyDescent="0.25">
      <c r="A60" t="s">
        <v>64</v>
      </c>
      <c r="B60">
        <v>1</v>
      </c>
      <c r="C60">
        <v>0.82036784298433696</v>
      </c>
      <c r="D60">
        <v>1.13368427893676</v>
      </c>
      <c r="E60">
        <v>1.2214206797946301</v>
      </c>
      <c r="F60">
        <v>0.95561188015857501</v>
      </c>
      <c r="G60">
        <v>1.0024696172093299</v>
      </c>
      <c r="H60">
        <v>0.95086761551959398</v>
      </c>
      <c r="I60">
        <v>1.12120621303698</v>
      </c>
      <c r="J60">
        <v>0.66887632416975396</v>
      </c>
      <c r="K60">
        <v>0.95535192045232997</v>
      </c>
      <c r="L60">
        <v>15000</v>
      </c>
      <c r="M60">
        <v>229.21158727966801</v>
      </c>
      <c r="O60">
        <v>65.436712000538506</v>
      </c>
      <c r="P60">
        <v>-0.164318169026932</v>
      </c>
      <c r="Q60">
        <v>0.81235774745893996</v>
      </c>
      <c r="R60">
        <v>0.29599279218676999</v>
      </c>
      <c r="S60" t="s">
        <v>1386</v>
      </c>
      <c r="T60" t="s">
        <v>2650</v>
      </c>
      <c r="U60" t="s">
        <v>2650</v>
      </c>
      <c r="V60" t="s">
        <v>2650</v>
      </c>
      <c r="W60" t="s">
        <v>2710</v>
      </c>
      <c r="X60">
        <v>1</v>
      </c>
      <c r="Y60" t="s">
        <v>4030</v>
      </c>
      <c r="Z60" t="s">
        <v>5340</v>
      </c>
      <c r="AA60">
        <v>0.97151475899654016</v>
      </c>
      <c r="AB60" t="str">
        <f>HYPERLINK("Melting_Curves/meltCurve_O43182_5_ARHGAP6.pdf", "Melting_Curves/meltCurve_O43182_5_ARHGAP6.pdf")</f>
        <v>Melting_Curves/meltCurve_O43182_5_ARHGAP6.pdf</v>
      </c>
    </row>
    <row r="61" spans="1:28" x14ac:dyDescent="0.25">
      <c r="A61" t="s">
        <v>65</v>
      </c>
      <c r="B61">
        <v>1</v>
      </c>
      <c r="C61">
        <v>0.695504479083911</v>
      </c>
      <c r="D61">
        <v>1.01435498452182</v>
      </c>
      <c r="E61">
        <v>1.0321069501136899</v>
      </c>
      <c r="F61">
        <v>0.85998411089499505</v>
      </c>
      <c r="G61">
        <v>0.88466701367010903</v>
      </c>
      <c r="H61">
        <v>0.83130153685998398</v>
      </c>
      <c r="I61">
        <v>0.89113223570665401</v>
      </c>
      <c r="J61">
        <v>0.56978878448346704</v>
      </c>
      <c r="K61">
        <v>0.76582746623565201</v>
      </c>
      <c r="L61">
        <v>261.495063112872</v>
      </c>
      <c r="M61">
        <v>2.8021270432319301</v>
      </c>
      <c r="O61">
        <v>66.605584621940693</v>
      </c>
      <c r="P61">
        <v>-1.09119242531967E-2</v>
      </c>
      <c r="Q61">
        <v>0</v>
      </c>
      <c r="R61">
        <v>0.28871821553354599</v>
      </c>
      <c r="S61" t="s">
        <v>1387</v>
      </c>
      <c r="T61" t="s">
        <v>2650</v>
      </c>
      <c r="U61" t="s">
        <v>2650</v>
      </c>
      <c r="V61" t="s">
        <v>2650</v>
      </c>
      <c r="W61" t="s">
        <v>2711</v>
      </c>
      <c r="X61">
        <v>1</v>
      </c>
      <c r="Y61" t="s">
        <v>4031</v>
      </c>
      <c r="Z61" t="s">
        <v>5341</v>
      </c>
      <c r="AA61">
        <v>0.86596763444783997</v>
      </c>
      <c r="AB61" t="str">
        <f>HYPERLINK("Melting_Curves/meltCurve_O43237_2_DYNC1LI2.pdf", "Melting_Curves/meltCurve_O43237_2_DYNC1LI2.pdf")</f>
        <v>Melting_Curves/meltCurve_O43237_2_DYNC1LI2.pdf</v>
      </c>
    </row>
    <row r="62" spans="1:28" x14ac:dyDescent="0.25">
      <c r="A62" t="s">
        <v>66</v>
      </c>
      <c r="B62">
        <v>1</v>
      </c>
      <c r="C62">
        <v>1.20385538181517</v>
      </c>
      <c r="D62">
        <v>1.82526681558699</v>
      </c>
      <c r="E62">
        <v>2.6990154711673702</v>
      </c>
      <c r="F62">
        <v>2.5658972449739399</v>
      </c>
      <c r="G62">
        <v>2.3909985935302398</v>
      </c>
      <c r="H62">
        <v>2.3546785802928798</v>
      </c>
      <c r="I62">
        <v>3.4089517663605502</v>
      </c>
      <c r="J62">
        <v>2.48738313890957</v>
      </c>
      <c r="K62">
        <v>3.1434599156118099</v>
      </c>
      <c r="L62">
        <v>10741.020420262499</v>
      </c>
      <c r="M62">
        <v>250</v>
      </c>
      <c r="O62">
        <v>42.9613321878807</v>
      </c>
      <c r="P62">
        <v>0.72739829956888702</v>
      </c>
      <c r="Q62">
        <v>1.5</v>
      </c>
      <c r="R62">
        <v>-1.16055679508138</v>
      </c>
      <c r="S62" t="s">
        <v>1388</v>
      </c>
      <c r="T62" t="s">
        <v>2650</v>
      </c>
      <c r="U62" t="s">
        <v>2650</v>
      </c>
      <c r="V62" t="s">
        <v>2650</v>
      </c>
      <c r="W62" t="s">
        <v>2712</v>
      </c>
      <c r="X62">
        <v>1</v>
      </c>
      <c r="Y62" t="s">
        <v>4032</v>
      </c>
      <c r="Z62" t="s">
        <v>5342</v>
      </c>
      <c r="AA62">
        <v>1.4505609379796349</v>
      </c>
      <c r="AB62" t="str">
        <f>HYPERLINK("Melting_Curves/meltCurve_O43240_KLK10.pdf", "Melting_Curves/meltCurve_O43240_KLK10.pdf")</f>
        <v>Melting_Curves/meltCurve_O43240_KLK10.pdf</v>
      </c>
    </row>
    <row r="63" spans="1:28" x14ac:dyDescent="0.25">
      <c r="A63" t="s">
        <v>67</v>
      </c>
      <c r="B63">
        <v>1</v>
      </c>
      <c r="C63">
        <v>0.75906057830694795</v>
      </c>
      <c r="D63">
        <v>1.0730210650268199</v>
      </c>
      <c r="E63">
        <v>1.18514981028392</v>
      </c>
      <c r="F63">
        <v>0.92975271490252498</v>
      </c>
      <c r="G63">
        <v>0.97956299882245201</v>
      </c>
      <c r="H63">
        <v>0.87957608269004295</v>
      </c>
      <c r="I63">
        <v>1.01696977626586</v>
      </c>
      <c r="J63">
        <v>0.68702080334947002</v>
      </c>
      <c r="K63">
        <v>0.90977364909067104</v>
      </c>
      <c r="L63">
        <v>1319.23296889679</v>
      </c>
      <c r="M63">
        <v>21.1723393549379</v>
      </c>
      <c r="O63">
        <v>61.761397801652599</v>
      </c>
      <c r="P63">
        <v>-1.5618033693112401E-2</v>
      </c>
      <c r="Q63">
        <v>0.81776854990315795</v>
      </c>
      <c r="R63">
        <v>0.183597237111641</v>
      </c>
      <c r="S63" t="s">
        <v>1389</v>
      </c>
      <c r="T63" t="s">
        <v>2650</v>
      </c>
      <c r="U63" t="s">
        <v>2650</v>
      </c>
      <c r="V63" t="s">
        <v>2650</v>
      </c>
      <c r="W63" t="s">
        <v>2713</v>
      </c>
      <c r="X63">
        <v>14</v>
      </c>
      <c r="Y63" t="s">
        <v>4033</v>
      </c>
      <c r="Z63" t="s">
        <v>5343</v>
      </c>
      <c r="AA63">
        <v>0.95377513931936853</v>
      </c>
      <c r="AB63" t="str">
        <f>HYPERLINK("Melting_Curves/meltCurve_O43278_SPINT1.pdf", "Melting_Curves/meltCurve_O43278_SPINT1.pdf")</f>
        <v>Melting_Curves/meltCurve_O43278_SPINT1.pdf</v>
      </c>
    </row>
    <row r="64" spans="1:28" x14ac:dyDescent="0.25">
      <c r="A64" t="s">
        <v>68</v>
      </c>
      <c r="B64">
        <v>1</v>
      </c>
      <c r="C64">
        <v>0.72997371162144697</v>
      </c>
      <c r="D64">
        <v>1.1384851941867999</v>
      </c>
      <c r="E64">
        <v>1.3549427111750401</v>
      </c>
      <c r="F64">
        <v>1.0130945885620799</v>
      </c>
      <c r="G64">
        <v>0.99737116214473498</v>
      </c>
      <c r="H64">
        <v>0.96954516145032499</v>
      </c>
      <c r="I64">
        <v>1.17514012201776</v>
      </c>
      <c r="J64">
        <v>0.65373741381875905</v>
      </c>
      <c r="K64">
        <v>0.96255146074103504</v>
      </c>
      <c r="L64">
        <v>5858.7900766355597</v>
      </c>
      <c r="M64">
        <v>89.408881853745896</v>
      </c>
      <c r="O64">
        <v>65.495290620147401</v>
      </c>
      <c r="P64">
        <v>-6.22564046410998E-2</v>
      </c>
      <c r="Q64">
        <v>0.81757959462162899</v>
      </c>
      <c r="R64">
        <v>0.15798751891025001</v>
      </c>
      <c r="S64" t="s">
        <v>1390</v>
      </c>
      <c r="T64" t="s">
        <v>2650</v>
      </c>
      <c r="U64" t="s">
        <v>2650</v>
      </c>
      <c r="V64" t="s">
        <v>2650</v>
      </c>
      <c r="W64" t="s">
        <v>2714</v>
      </c>
      <c r="X64">
        <v>3</v>
      </c>
      <c r="Y64" t="s">
        <v>4034</v>
      </c>
      <c r="Z64" t="s">
        <v>5344</v>
      </c>
      <c r="AA64">
        <v>0.97295459185494182</v>
      </c>
      <c r="AB64" t="str">
        <f>HYPERLINK("Melting_Curves/meltCurve_O43291_SPINT2.pdf", "Melting_Curves/meltCurve_O43291_SPINT2.pdf")</f>
        <v>Melting_Curves/meltCurve_O43291_SPINT2.pdf</v>
      </c>
    </row>
    <row r="65" spans="1:28" x14ac:dyDescent="0.25">
      <c r="A65" t="s">
        <v>69</v>
      </c>
      <c r="B65">
        <v>1</v>
      </c>
      <c r="C65">
        <v>0.78854591037292399</v>
      </c>
      <c r="D65">
        <v>0.98264650579755597</v>
      </c>
      <c r="E65">
        <v>1.10392510184895</v>
      </c>
      <c r="F65">
        <v>0.98205891570040704</v>
      </c>
      <c r="G65">
        <v>0.95487308053901598</v>
      </c>
      <c r="H65">
        <v>0.85192729551864599</v>
      </c>
      <c r="I65">
        <v>0.95604826073331195</v>
      </c>
      <c r="J65">
        <v>0.64838608586649904</v>
      </c>
      <c r="K65">
        <v>0.83798182387966202</v>
      </c>
      <c r="L65">
        <v>1262.82019576075</v>
      </c>
      <c r="M65">
        <v>20.388846105418001</v>
      </c>
      <c r="O65">
        <v>61.350231095781801</v>
      </c>
      <c r="P65">
        <v>-2.07266035239249E-2</v>
      </c>
      <c r="Q65">
        <v>0.75054134033336195</v>
      </c>
      <c r="R65">
        <v>0.35312947663177602</v>
      </c>
      <c r="S65" t="s">
        <v>1391</v>
      </c>
      <c r="T65" t="s">
        <v>2650</v>
      </c>
      <c r="U65" t="s">
        <v>2650</v>
      </c>
      <c r="V65" t="s">
        <v>2650</v>
      </c>
      <c r="W65" t="s">
        <v>2715</v>
      </c>
      <c r="X65">
        <v>2</v>
      </c>
      <c r="Y65" t="s">
        <v>4035</v>
      </c>
      <c r="Z65" t="s">
        <v>5345</v>
      </c>
      <c r="AA65">
        <v>0.93382466178902857</v>
      </c>
      <c r="AB65" t="str">
        <f>HYPERLINK("Melting_Curves/meltCurve_O43399_2_TPD52L2.pdf", "Melting_Curves/meltCurve_O43399_2_TPD52L2.pdf")</f>
        <v>Melting_Curves/meltCurve_O43399_2_TPD52L2.pdf</v>
      </c>
    </row>
    <row r="66" spans="1:28" x14ac:dyDescent="0.25">
      <c r="A66" t="s">
        <v>70</v>
      </c>
      <c r="B66">
        <v>1</v>
      </c>
      <c r="C66">
        <v>0.85699561968564797</v>
      </c>
      <c r="D66">
        <v>1.2831229064674099</v>
      </c>
      <c r="E66">
        <v>1.8006699304303</v>
      </c>
      <c r="F66">
        <v>1.49992270033497</v>
      </c>
      <c r="G66">
        <v>2.0640556557588301</v>
      </c>
      <c r="H66">
        <v>2.75676372069054</v>
      </c>
      <c r="I66">
        <v>3.50260242205617</v>
      </c>
      <c r="J66">
        <v>2.2474104612213299</v>
      </c>
      <c r="K66">
        <v>3.4080906982736399</v>
      </c>
      <c r="L66">
        <v>11487.738671867401</v>
      </c>
      <c r="M66">
        <v>250</v>
      </c>
      <c r="O66">
        <v>45.948014560871698</v>
      </c>
      <c r="P66">
        <v>0.68011644523716097</v>
      </c>
      <c r="Q66">
        <v>1.5</v>
      </c>
      <c r="R66">
        <v>-0.28191842074603701</v>
      </c>
      <c r="S66" t="s">
        <v>1392</v>
      </c>
      <c r="T66" t="s">
        <v>2650</v>
      </c>
      <c r="U66" t="s">
        <v>2650</v>
      </c>
      <c r="V66" t="s">
        <v>2650</v>
      </c>
      <c r="W66" t="s">
        <v>2716</v>
      </c>
      <c r="X66">
        <v>4</v>
      </c>
      <c r="Y66" t="s">
        <v>4036</v>
      </c>
      <c r="Z66" t="s">
        <v>5346</v>
      </c>
      <c r="AA66">
        <v>1.400777100270346</v>
      </c>
      <c r="AB66" t="str">
        <f>HYPERLINK("Melting_Curves/meltCurve_O43405_COCH.pdf", "Melting_Curves/meltCurve_O43405_COCH.pdf")</f>
        <v>Melting_Curves/meltCurve_O43405_COCH.pdf</v>
      </c>
    </row>
    <row r="67" spans="1:28" x14ac:dyDescent="0.25">
      <c r="A67" t="s">
        <v>71</v>
      </c>
      <c r="B67">
        <v>1</v>
      </c>
      <c r="C67">
        <v>0.87055715658021104</v>
      </c>
      <c r="D67">
        <v>1.1518571886007001</v>
      </c>
      <c r="E67">
        <v>1.44172270252962</v>
      </c>
      <c r="F67">
        <v>1.1516970861351301</v>
      </c>
      <c r="G67">
        <v>1.11823567082933</v>
      </c>
      <c r="H67">
        <v>1.0303394172270299</v>
      </c>
      <c r="I67">
        <v>1.2393531860390601</v>
      </c>
      <c r="J67">
        <v>0.83973743195645201</v>
      </c>
      <c r="K67">
        <v>1.01945244956772</v>
      </c>
      <c r="L67">
        <v>11134.6648147654</v>
      </c>
      <c r="M67">
        <v>250</v>
      </c>
      <c r="O67">
        <v>44.535809181196797</v>
      </c>
      <c r="P67">
        <v>0.17415639741486799</v>
      </c>
      <c r="Q67">
        <v>1.1240991369006099</v>
      </c>
      <c r="R67">
        <v>0.17262069087377799</v>
      </c>
      <c r="S67" t="s">
        <v>1393</v>
      </c>
      <c r="T67" t="s">
        <v>2650</v>
      </c>
      <c r="U67" t="s">
        <v>2650</v>
      </c>
      <c r="V67" t="s">
        <v>2650</v>
      </c>
      <c r="W67" t="s">
        <v>2717</v>
      </c>
      <c r="X67">
        <v>1</v>
      </c>
      <c r="Y67" t="s">
        <v>4037</v>
      </c>
      <c r="Z67" t="s">
        <v>5347</v>
      </c>
      <c r="AA67">
        <v>1.1053146468433499</v>
      </c>
      <c r="AB67" t="str">
        <f>HYPERLINK("Melting_Curves/meltCurve_O43488_AKR7A2.pdf", "Melting_Curves/meltCurve_O43488_AKR7A2.pdf")</f>
        <v>Melting_Curves/meltCurve_O43488_AKR7A2.pdf</v>
      </c>
    </row>
    <row r="68" spans="1:28" x14ac:dyDescent="0.25">
      <c r="A68" t="s">
        <v>72</v>
      </c>
      <c r="B68">
        <v>1</v>
      </c>
      <c r="C68">
        <v>0.80146341463414605</v>
      </c>
      <c r="D68">
        <v>1.17144465290807</v>
      </c>
      <c r="E68">
        <v>1.5741838649155699</v>
      </c>
      <c r="F68">
        <v>1.8628517823639801</v>
      </c>
      <c r="G68">
        <v>2.6531707317073199</v>
      </c>
      <c r="H68">
        <v>2.7120075046904302</v>
      </c>
      <c r="I68">
        <v>3.21305816135084</v>
      </c>
      <c r="J68">
        <v>2.3884052532832998</v>
      </c>
      <c r="K68">
        <v>2.9430769230769198</v>
      </c>
      <c r="L68">
        <v>11529.9204639003</v>
      </c>
      <c r="M68">
        <v>250</v>
      </c>
      <c r="O68">
        <v>46.116732087094199</v>
      </c>
      <c r="P68">
        <v>0.67762826410239796</v>
      </c>
      <c r="Q68">
        <v>1.5</v>
      </c>
      <c r="R68">
        <v>-0.299396186325115</v>
      </c>
      <c r="S68" t="s">
        <v>1394</v>
      </c>
      <c r="T68" t="s">
        <v>2650</v>
      </c>
      <c r="U68" t="s">
        <v>2650</v>
      </c>
      <c r="V68" t="s">
        <v>2650</v>
      </c>
      <c r="W68" t="s">
        <v>2718</v>
      </c>
      <c r="X68">
        <v>4</v>
      </c>
      <c r="Y68" t="s">
        <v>4038</v>
      </c>
      <c r="Z68" t="s">
        <v>5348</v>
      </c>
      <c r="AA68">
        <v>1.397964832744709</v>
      </c>
      <c r="AB68" t="str">
        <f>HYPERLINK("Melting_Curves/meltCurve_O43505_B4GAT1.pdf", "Melting_Curves/meltCurve_O43505_B4GAT1.pdf")</f>
        <v>Melting_Curves/meltCurve_O43505_B4GAT1.pdf</v>
      </c>
    </row>
    <row r="69" spans="1:28" x14ac:dyDescent="0.25">
      <c r="A69" t="s">
        <v>73</v>
      </c>
      <c r="B69">
        <v>1</v>
      </c>
      <c r="C69">
        <v>0.93865831375619901</v>
      </c>
      <c r="D69">
        <v>1.4489826759537801</v>
      </c>
      <c r="E69">
        <v>1.7505392298286799</v>
      </c>
      <c r="F69">
        <v>1.4304359175150101</v>
      </c>
      <c r="G69">
        <v>1.5289398123342799</v>
      </c>
      <c r="H69">
        <v>1.68871670169943</v>
      </c>
      <c r="I69">
        <v>2.0981192213109101</v>
      </c>
      <c r="J69">
        <v>1.46931541853852</v>
      </c>
      <c r="K69">
        <v>1.9313357787577801</v>
      </c>
      <c r="L69">
        <v>11399.9584293482</v>
      </c>
      <c r="M69">
        <v>250</v>
      </c>
      <c r="O69">
        <v>45.596925263164302</v>
      </c>
      <c r="P69">
        <v>0.68535337495453097</v>
      </c>
      <c r="Q69">
        <v>1.5</v>
      </c>
      <c r="R69">
        <v>0.45997017904753501</v>
      </c>
      <c r="S69" t="s">
        <v>1395</v>
      </c>
      <c r="T69" t="s">
        <v>2650</v>
      </c>
      <c r="U69" t="s">
        <v>2650</v>
      </c>
      <c r="V69" t="s">
        <v>2650</v>
      </c>
      <c r="W69" t="s">
        <v>2719</v>
      </c>
      <c r="X69">
        <v>1</v>
      </c>
      <c r="Y69" t="s">
        <v>4039</v>
      </c>
      <c r="Z69" t="s">
        <v>5349</v>
      </c>
      <c r="AA69">
        <v>1.406629424544211</v>
      </c>
      <c r="AB69" t="str">
        <f>HYPERLINK("Melting_Curves/meltCurve_O43581_SYT7.pdf", "Melting_Curves/meltCurve_O43581_SYT7.pdf")</f>
        <v>Melting_Curves/meltCurve_O43581_SYT7.pdf</v>
      </c>
    </row>
    <row r="70" spans="1:28" x14ac:dyDescent="0.25">
      <c r="A70" t="s">
        <v>74</v>
      </c>
      <c r="B70">
        <v>1</v>
      </c>
      <c r="C70">
        <v>0.93357434875156298</v>
      </c>
      <c r="D70">
        <v>1.09140566048361</v>
      </c>
      <c r="E70">
        <v>1.20091000213986</v>
      </c>
      <c r="F70">
        <v>1.10510074219234</v>
      </c>
      <c r="G70">
        <v>1.1393046592560101</v>
      </c>
      <c r="H70">
        <v>0.99826558998096704</v>
      </c>
      <c r="I70">
        <v>1.1295063688887399</v>
      </c>
      <c r="J70">
        <v>0.90180311067563201</v>
      </c>
      <c r="K70">
        <v>1.0547578020294801</v>
      </c>
      <c r="L70">
        <v>11135.423897368</v>
      </c>
      <c r="M70">
        <v>250</v>
      </c>
      <c r="O70">
        <v>44.538845325525401</v>
      </c>
      <c r="P70">
        <v>0.10893656013530199</v>
      </c>
      <c r="Q70">
        <v>1.0776305373533701</v>
      </c>
      <c r="R70">
        <v>0.212195952737915</v>
      </c>
      <c r="S70" t="s">
        <v>1396</v>
      </c>
      <c r="T70" t="s">
        <v>2650</v>
      </c>
      <c r="U70" t="s">
        <v>2650</v>
      </c>
      <c r="V70" t="s">
        <v>2650</v>
      </c>
      <c r="W70" t="s">
        <v>2720</v>
      </c>
      <c r="X70">
        <v>1</v>
      </c>
      <c r="Y70" t="s">
        <v>4040</v>
      </c>
      <c r="Z70" t="s">
        <v>5350</v>
      </c>
      <c r="AA70">
        <v>1.065871993338749</v>
      </c>
      <c r="AB70" t="str">
        <f>HYPERLINK("Melting_Curves/meltCurve_O43583_DENR.pdf", "Melting_Curves/meltCurve_O43583_DENR.pdf")</f>
        <v>Melting_Curves/meltCurve_O43583_DENR.pdf</v>
      </c>
    </row>
    <row r="71" spans="1:28" x14ac:dyDescent="0.25">
      <c r="A71" t="s">
        <v>75</v>
      </c>
      <c r="B71">
        <v>1</v>
      </c>
      <c r="C71">
        <v>0.75885592379440403</v>
      </c>
      <c r="D71">
        <v>1.06458374677515</v>
      </c>
      <c r="E71">
        <v>1.35158265528875</v>
      </c>
      <c r="F71">
        <v>1.26339551498313</v>
      </c>
      <c r="G71">
        <v>1.35133459019647</v>
      </c>
      <c r="H71">
        <v>1.2787755507045</v>
      </c>
      <c r="I71">
        <v>1.6282992657273301</v>
      </c>
      <c r="J71">
        <v>1.24826354435404</v>
      </c>
      <c r="K71">
        <v>1.40479261758285</v>
      </c>
      <c r="L71">
        <v>11570.082560442899</v>
      </c>
      <c r="M71">
        <v>250</v>
      </c>
      <c r="O71">
        <v>46.277368621460099</v>
      </c>
      <c r="P71">
        <v>0.48744200676214799</v>
      </c>
      <c r="Q71">
        <v>1.36092053432517</v>
      </c>
      <c r="R71">
        <v>0.69363038949539801</v>
      </c>
      <c r="S71" t="s">
        <v>1397</v>
      </c>
      <c r="T71" t="s">
        <v>2650</v>
      </c>
      <c r="U71" t="s">
        <v>2650</v>
      </c>
      <c r="V71" t="s">
        <v>2650</v>
      </c>
      <c r="W71" t="s">
        <v>2721</v>
      </c>
      <c r="X71">
        <v>2</v>
      </c>
      <c r="Y71" t="s">
        <v>4041</v>
      </c>
      <c r="Z71" t="s">
        <v>5351</v>
      </c>
      <c r="AA71">
        <v>1.2853345483515759</v>
      </c>
      <c r="AB71" t="str">
        <f>HYPERLINK("Melting_Curves/meltCurve_O43598_2_DNPH1.pdf", "Melting_Curves/meltCurve_O43598_2_DNPH1.pdf")</f>
        <v>Melting_Curves/meltCurve_O43598_2_DNPH1.pdf</v>
      </c>
    </row>
    <row r="72" spans="1:28" x14ac:dyDescent="0.25">
      <c r="A72" t="s">
        <v>76</v>
      </c>
      <c r="B72">
        <v>1</v>
      </c>
      <c r="C72">
        <v>0.840425531914894</v>
      </c>
      <c r="D72">
        <v>1.22821461609621</v>
      </c>
      <c r="E72">
        <v>1.4460222016651201</v>
      </c>
      <c r="F72">
        <v>1.1516651248843699</v>
      </c>
      <c r="G72">
        <v>1.1219241443108201</v>
      </c>
      <c r="H72">
        <v>1.0904717853839001</v>
      </c>
      <c r="I72">
        <v>1.34750231267345</v>
      </c>
      <c r="J72">
        <v>0.88145235892691998</v>
      </c>
      <c r="K72">
        <v>1.1713691026827</v>
      </c>
      <c r="L72">
        <v>11126.979670147301</v>
      </c>
      <c r="M72">
        <v>250</v>
      </c>
      <c r="O72">
        <v>44.505064793794702</v>
      </c>
      <c r="P72">
        <v>0.25254528418424499</v>
      </c>
      <c r="Q72">
        <v>1.17983273054282</v>
      </c>
      <c r="R72">
        <v>0.29431336889367798</v>
      </c>
      <c r="S72" t="s">
        <v>1398</v>
      </c>
      <c r="T72" t="s">
        <v>2650</v>
      </c>
      <c r="U72" t="s">
        <v>2650</v>
      </c>
      <c r="V72" t="s">
        <v>2650</v>
      </c>
      <c r="W72" t="s">
        <v>2722</v>
      </c>
      <c r="X72">
        <v>2</v>
      </c>
      <c r="Y72" t="s">
        <v>4042</v>
      </c>
      <c r="Z72" t="s">
        <v>5352</v>
      </c>
      <c r="AA72">
        <v>1.152796306168351</v>
      </c>
      <c r="AB72" t="str">
        <f>HYPERLINK("Melting_Curves/meltCurve_O43653_PSCA.pdf", "Melting_Curves/meltCurve_O43653_PSCA.pdf")</f>
        <v>Melting_Curves/meltCurve_O43653_PSCA.pdf</v>
      </c>
    </row>
    <row r="73" spans="1:28" x14ac:dyDescent="0.25">
      <c r="A73" t="s">
        <v>77</v>
      </c>
      <c r="B73">
        <v>1</v>
      </c>
      <c r="C73">
        <v>1.0871131488455901</v>
      </c>
      <c r="D73">
        <v>1.8364990993941399</v>
      </c>
      <c r="E73">
        <v>2.5109710168658901</v>
      </c>
      <c r="F73">
        <v>1.94972981824136</v>
      </c>
      <c r="G73">
        <v>2.0831832323563102</v>
      </c>
      <c r="H73">
        <v>1.8128377271983001</v>
      </c>
      <c r="I73">
        <v>2.15203864417881</v>
      </c>
      <c r="J73">
        <v>1.3529556246929799</v>
      </c>
      <c r="K73">
        <v>1.8568036679220601</v>
      </c>
      <c r="L73">
        <v>10791.750663062399</v>
      </c>
      <c r="M73">
        <v>250</v>
      </c>
      <c r="O73">
        <v>43.1642360840534</v>
      </c>
      <c r="P73">
        <v>0.72397891983681095</v>
      </c>
      <c r="Q73">
        <v>1.5</v>
      </c>
      <c r="R73">
        <v>-0.13398224979191001</v>
      </c>
      <c r="S73" t="s">
        <v>1399</v>
      </c>
      <c r="T73" t="s">
        <v>2650</v>
      </c>
      <c r="U73" t="s">
        <v>2650</v>
      </c>
      <c r="V73" t="s">
        <v>2650</v>
      </c>
      <c r="W73" t="s">
        <v>2723</v>
      </c>
      <c r="X73">
        <v>5</v>
      </c>
      <c r="Y73" t="s">
        <v>4043</v>
      </c>
      <c r="Z73" t="s">
        <v>5353</v>
      </c>
      <c r="AA73">
        <v>1.4471787437473791</v>
      </c>
      <c r="AB73" t="str">
        <f>HYPERLINK("Melting_Curves/meltCurve_O43692_PI15.pdf", "Melting_Curves/meltCurve_O43692_PI15.pdf")</f>
        <v>Melting_Curves/meltCurve_O43692_PI15.pdf</v>
      </c>
    </row>
    <row r="74" spans="1:28" x14ac:dyDescent="0.25">
      <c r="A74" t="s">
        <v>78</v>
      </c>
      <c r="B74">
        <v>1</v>
      </c>
      <c r="C74">
        <v>0.80990243527694505</v>
      </c>
      <c r="D74">
        <v>1.3639471460397901</v>
      </c>
      <c r="E74">
        <v>2.1434662364600099</v>
      </c>
      <c r="F74">
        <v>1.9542905431358999</v>
      </c>
      <c r="G74">
        <v>2.09741107782131</v>
      </c>
      <c r="H74">
        <v>1.92190981024814</v>
      </c>
      <c r="I74">
        <v>2.4051240685257702</v>
      </c>
      <c r="J74">
        <v>1.4927402627333499</v>
      </c>
      <c r="K74">
        <v>2.1233387109164901</v>
      </c>
      <c r="L74">
        <v>11454.737618819299</v>
      </c>
      <c r="M74">
        <v>250</v>
      </c>
      <c r="O74">
        <v>45.816018220195602</v>
      </c>
      <c r="P74">
        <v>0.68207585798356196</v>
      </c>
      <c r="Q74">
        <v>1.5</v>
      </c>
      <c r="R74">
        <v>6.7621558266357698E-2</v>
      </c>
      <c r="S74" t="s">
        <v>1400</v>
      </c>
      <c r="T74" t="s">
        <v>2650</v>
      </c>
      <c r="U74" t="s">
        <v>2650</v>
      </c>
      <c r="V74" t="s">
        <v>2650</v>
      </c>
      <c r="W74" t="s">
        <v>2724</v>
      </c>
      <c r="X74">
        <v>19</v>
      </c>
      <c r="Y74" t="s">
        <v>4044</v>
      </c>
      <c r="Z74" t="s">
        <v>5354</v>
      </c>
      <c r="AA74">
        <v>1.402977286306222</v>
      </c>
      <c r="AB74" t="str">
        <f>HYPERLINK("Melting_Curves/meltCurve_O43707_ACTN4.pdf", "Melting_Curves/meltCurve_O43707_ACTN4.pdf")</f>
        <v>Melting_Curves/meltCurve_O43707_ACTN4.pdf</v>
      </c>
    </row>
    <row r="75" spans="1:28" x14ac:dyDescent="0.25">
      <c r="A75" t="s">
        <v>79</v>
      </c>
      <c r="B75">
        <v>1</v>
      </c>
      <c r="C75">
        <v>0.78780620357883302</v>
      </c>
      <c r="D75">
        <v>0.96672772287192299</v>
      </c>
      <c r="E75">
        <v>0.85479358305992204</v>
      </c>
      <c r="F75">
        <v>0.78635695738813605</v>
      </c>
      <c r="G75">
        <v>0.99756446126285703</v>
      </c>
      <c r="H75">
        <v>0.82774098750025205</v>
      </c>
      <c r="I75">
        <v>0.99933576216259701</v>
      </c>
      <c r="J75">
        <v>0.75372878967814605</v>
      </c>
      <c r="K75">
        <v>0.99072079869567797</v>
      </c>
      <c r="L75">
        <v>10233.539269270201</v>
      </c>
      <c r="M75">
        <v>250</v>
      </c>
      <c r="O75">
        <v>40.931536495933102</v>
      </c>
      <c r="P75">
        <v>-0.17563609040520001</v>
      </c>
      <c r="Q75">
        <v>0.88497511642546101</v>
      </c>
      <c r="R75">
        <v>0.123895686477047</v>
      </c>
      <c r="S75" t="s">
        <v>1401</v>
      </c>
      <c r="T75" t="s">
        <v>2650</v>
      </c>
      <c r="U75" t="s">
        <v>2650</v>
      </c>
      <c r="V75" t="s">
        <v>2650</v>
      </c>
      <c r="W75" t="s">
        <v>2725</v>
      </c>
      <c r="X75">
        <v>1</v>
      </c>
      <c r="Y75" t="s">
        <v>4045</v>
      </c>
      <c r="Z75" t="s">
        <v>5355</v>
      </c>
      <c r="AA75">
        <v>0.88856682035550483</v>
      </c>
      <c r="AB75" t="str">
        <f>HYPERLINK("Melting_Curves/meltCurve_O43765_SGTA.pdf", "Melting_Curves/meltCurve_O43765_SGTA.pdf")</f>
        <v>Melting_Curves/meltCurve_O43765_SGTA.pdf</v>
      </c>
    </row>
    <row r="76" spans="1:28" x14ac:dyDescent="0.25">
      <c r="A76" t="s">
        <v>80</v>
      </c>
      <c r="B76">
        <v>1</v>
      </c>
      <c r="C76">
        <v>0.86096909133162902</v>
      </c>
      <c r="D76">
        <v>1.3121659307459901</v>
      </c>
      <c r="E76">
        <v>1.5351498954217999</v>
      </c>
      <c r="F76">
        <v>1.3692191494306301</v>
      </c>
      <c r="G76">
        <v>1.5410178944922099</v>
      </c>
      <c r="H76">
        <v>1.7587729491052799</v>
      </c>
      <c r="I76">
        <v>2.4541598884499201</v>
      </c>
      <c r="J76">
        <v>1.75813386009761</v>
      </c>
      <c r="K76">
        <v>2.4847199628166399</v>
      </c>
      <c r="L76">
        <v>11476.63311407</v>
      </c>
      <c r="M76">
        <v>250</v>
      </c>
      <c r="O76">
        <v>45.903595100891202</v>
      </c>
      <c r="P76">
        <v>0.68077457139834596</v>
      </c>
      <c r="Q76">
        <v>1.5</v>
      </c>
      <c r="R76">
        <v>0.213978289402982</v>
      </c>
      <c r="S76" t="s">
        <v>1402</v>
      </c>
      <c r="T76" t="s">
        <v>2650</v>
      </c>
      <c r="U76" t="s">
        <v>2650</v>
      </c>
      <c r="V76" t="s">
        <v>2650</v>
      </c>
      <c r="W76" t="s">
        <v>2726</v>
      </c>
      <c r="X76">
        <v>2</v>
      </c>
      <c r="Y76" t="s">
        <v>4046</v>
      </c>
      <c r="Z76" t="s">
        <v>5356</v>
      </c>
      <c r="AA76">
        <v>1.4015175097703401</v>
      </c>
      <c r="AB76" t="str">
        <f>HYPERLINK("Melting_Curves/meltCurve_O43776_NARS.pdf", "Melting_Curves/meltCurve_O43776_NARS.pdf")</f>
        <v>Melting_Curves/meltCurve_O43776_NARS.pdf</v>
      </c>
    </row>
    <row r="77" spans="1:28" x14ac:dyDescent="0.25">
      <c r="A77" t="s">
        <v>81</v>
      </c>
      <c r="B77">
        <v>1</v>
      </c>
      <c r="C77">
        <v>0.77707505944748101</v>
      </c>
      <c r="D77">
        <v>1.02447617743361</v>
      </c>
      <c r="E77">
        <v>1.1689553428034301</v>
      </c>
      <c r="F77">
        <v>0.95823114176512303</v>
      </c>
      <c r="G77">
        <v>0.96293714129203301</v>
      </c>
      <c r="H77">
        <v>0.83652254024376604</v>
      </c>
      <c r="I77">
        <v>0.93746498512256804</v>
      </c>
      <c r="J77">
        <v>0.68163539708427201</v>
      </c>
      <c r="K77">
        <v>0.80904597686839397</v>
      </c>
      <c r="L77">
        <v>1246.3458919520699</v>
      </c>
      <c r="M77">
        <v>20.1888934027014</v>
      </c>
      <c r="O77">
        <v>61.1381182060532</v>
      </c>
      <c r="P77">
        <v>-2.0992340930948102E-2</v>
      </c>
      <c r="Q77">
        <v>0.74572317145558797</v>
      </c>
      <c r="R77">
        <v>0.39564124319842597</v>
      </c>
      <c r="S77" t="s">
        <v>1403</v>
      </c>
      <c r="T77" t="s">
        <v>2650</v>
      </c>
      <c r="U77" t="s">
        <v>2650</v>
      </c>
      <c r="V77" t="s">
        <v>2650</v>
      </c>
      <c r="W77" t="s">
        <v>2727</v>
      </c>
      <c r="X77">
        <v>2</v>
      </c>
      <c r="Y77" t="s">
        <v>4047</v>
      </c>
      <c r="Z77" t="s">
        <v>5357</v>
      </c>
      <c r="AA77">
        <v>0.93096784063308258</v>
      </c>
      <c r="AB77" t="str">
        <f>HYPERLINK("Melting_Curves/meltCurve_O43852_2_CALU.pdf", "Melting_Curves/meltCurve_O43852_2_CALU.pdf")</f>
        <v>Melting_Curves/meltCurve_O43852_2_CALU.pdf</v>
      </c>
    </row>
    <row r="78" spans="1:28" x14ac:dyDescent="0.25">
      <c r="A78" t="s">
        <v>82</v>
      </c>
      <c r="B78">
        <v>1</v>
      </c>
      <c r="C78">
        <v>0.74368735855156798</v>
      </c>
      <c r="D78">
        <v>1.1892984157775599</v>
      </c>
      <c r="E78">
        <v>1.59101196249596</v>
      </c>
      <c r="F78">
        <v>1.2524248302618799</v>
      </c>
      <c r="G78">
        <v>1.5181053992887199</v>
      </c>
      <c r="H78">
        <v>1.2664888457807999</v>
      </c>
      <c r="I78">
        <v>1.8381829938570999</v>
      </c>
      <c r="J78">
        <v>1.12261558357582</v>
      </c>
      <c r="K78">
        <v>1.42345619139994</v>
      </c>
      <c r="L78">
        <v>11511.1130965465</v>
      </c>
      <c r="M78">
        <v>250</v>
      </c>
      <c r="O78">
        <v>46.041505644799003</v>
      </c>
      <c r="P78">
        <v>0.58415572109623803</v>
      </c>
      <c r="Q78">
        <v>1.4303265442669499</v>
      </c>
      <c r="R78">
        <v>0.52594708780448096</v>
      </c>
      <c r="S78" t="s">
        <v>1404</v>
      </c>
      <c r="T78" t="s">
        <v>2650</v>
      </c>
      <c r="U78" t="s">
        <v>2650</v>
      </c>
      <c r="V78" t="s">
        <v>2650</v>
      </c>
      <c r="W78" t="s">
        <v>2728</v>
      </c>
      <c r="X78">
        <v>1</v>
      </c>
      <c r="Y78" t="s">
        <v>4048</v>
      </c>
      <c r="Z78" t="s">
        <v>5358</v>
      </c>
      <c r="AA78">
        <v>1.343588827164155</v>
      </c>
      <c r="AB78" t="str">
        <f>HYPERLINK("Melting_Curves/meltCurve_O60256_4_PRPSAP2.pdf", "Melting_Curves/meltCurve_O60256_4_PRPSAP2.pdf")</f>
        <v>Melting_Curves/meltCurve_O60256_4_PRPSAP2.pdf</v>
      </c>
    </row>
    <row r="79" spans="1:28" x14ac:dyDescent="0.25">
      <c r="A79" t="s">
        <v>83</v>
      </c>
      <c r="B79">
        <v>1</v>
      </c>
      <c r="C79">
        <v>0.86734015132618303</v>
      </c>
      <c r="D79">
        <v>1.41448407749231</v>
      </c>
      <c r="E79">
        <v>1.4250436517834899</v>
      </c>
      <c r="F79">
        <v>1.2122308140018301</v>
      </c>
      <c r="G79">
        <v>1.1659183503783199</v>
      </c>
      <c r="H79">
        <v>1.19335661428453</v>
      </c>
      <c r="I79">
        <v>1.24760954518999</v>
      </c>
      <c r="J79">
        <v>0.77251184834123199</v>
      </c>
      <c r="K79">
        <v>1.11149912696433</v>
      </c>
      <c r="L79">
        <v>11089.125312239599</v>
      </c>
      <c r="M79">
        <v>250</v>
      </c>
      <c r="O79">
        <v>44.3536625874329</v>
      </c>
      <c r="P79">
        <v>0.27171961253085902</v>
      </c>
      <c r="Q79">
        <v>1.19282816058248</v>
      </c>
      <c r="R79">
        <v>0.24254337443413801</v>
      </c>
      <c r="S79" t="s">
        <v>1405</v>
      </c>
      <c r="T79" t="s">
        <v>2650</v>
      </c>
      <c r="U79" t="s">
        <v>2650</v>
      </c>
      <c r="V79" t="s">
        <v>2650</v>
      </c>
      <c r="W79" t="s">
        <v>2729</v>
      </c>
      <c r="X79">
        <v>1</v>
      </c>
      <c r="Y79" t="s">
        <v>4049</v>
      </c>
      <c r="Z79" t="s">
        <v>5359</v>
      </c>
      <c r="AA79">
        <v>1.164811279133164</v>
      </c>
      <c r="AB79" t="str">
        <f>HYPERLINK("Melting_Curves/meltCurve_O60343_4_TBC1D4.pdf", "Melting_Curves/meltCurve_O60343_4_TBC1D4.pdf")</f>
        <v>Melting_Curves/meltCurve_O60343_4_TBC1D4.pdf</v>
      </c>
    </row>
    <row r="80" spans="1:28" x14ac:dyDescent="0.25">
      <c r="A80" t="s">
        <v>84</v>
      </c>
      <c r="B80">
        <v>1</v>
      </c>
      <c r="C80">
        <v>0.746167325995026</v>
      </c>
      <c r="D80">
        <v>1.16108248774908</v>
      </c>
      <c r="E80">
        <v>1.2599292752284901</v>
      </c>
      <c r="F80">
        <v>1.0945550320570001</v>
      </c>
      <c r="G80">
        <v>1.00916064176959</v>
      </c>
      <c r="H80">
        <v>0.96751277558001703</v>
      </c>
      <c r="I80">
        <v>1.2044197735548099</v>
      </c>
      <c r="J80">
        <v>0.75453047775947302</v>
      </c>
      <c r="K80">
        <v>1.0461494874028101</v>
      </c>
      <c r="L80">
        <v>1440.9449662455499</v>
      </c>
      <c r="M80">
        <v>21.432811022991899</v>
      </c>
      <c r="O80">
        <v>66.653715263060704</v>
      </c>
      <c r="P80">
        <v>-3.65352659938562E-3</v>
      </c>
      <c r="Q80">
        <v>0.95455283068421504</v>
      </c>
      <c r="R80">
        <v>-1.5899778628523299E-2</v>
      </c>
      <c r="S80" t="s">
        <v>1406</v>
      </c>
      <c r="T80" t="s">
        <v>2650</v>
      </c>
      <c r="U80" t="s">
        <v>2650</v>
      </c>
      <c r="V80" t="s">
        <v>2650</v>
      </c>
      <c r="W80" t="s">
        <v>2730</v>
      </c>
      <c r="X80">
        <v>3</v>
      </c>
      <c r="Y80" t="s">
        <v>4050</v>
      </c>
      <c r="Z80" t="s">
        <v>5360</v>
      </c>
      <c r="AA80">
        <v>0.99448871751296319</v>
      </c>
      <c r="AB80" t="str">
        <f>HYPERLINK("Melting_Curves/meltCurve_O60353_2_FZD6.pdf", "Melting_Curves/meltCurve_O60353_2_FZD6.pdf")</f>
        <v>Melting_Curves/meltCurve_O60353_2_FZD6.pdf</v>
      </c>
    </row>
    <row r="81" spans="1:28" x14ac:dyDescent="0.25">
      <c r="A81" t="s">
        <v>85</v>
      </c>
      <c r="B81">
        <v>1</v>
      </c>
      <c r="C81">
        <v>0.86192760575665095</v>
      </c>
      <c r="D81">
        <v>1.1062799825556</v>
      </c>
      <c r="E81">
        <v>1.2218054949847399</v>
      </c>
      <c r="F81">
        <v>1.1474487570867899</v>
      </c>
      <c r="G81">
        <v>1.3272132577409499</v>
      </c>
      <c r="H81">
        <v>1.2226341037941599</v>
      </c>
      <c r="I81">
        <v>1.28390754470126</v>
      </c>
      <c r="J81">
        <v>0.96768425643262101</v>
      </c>
      <c r="K81">
        <v>1.19262974269516</v>
      </c>
      <c r="L81">
        <v>11491.5684342153</v>
      </c>
      <c r="M81">
        <v>250</v>
      </c>
      <c r="O81">
        <v>45.963332314058398</v>
      </c>
      <c r="P81">
        <v>0.264831282734178</v>
      </c>
      <c r="Q81">
        <v>1.1947604513769099</v>
      </c>
      <c r="R81">
        <v>0.49912133560849498</v>
      </c>
      <c r="S81" t="s">
        <v>1407</v>
      </c>
      <c r="T81" t="s">
        <v>2650</v>
      </c>
      <c r="U81" t="s">
        <v>2650</v>
      </c>
      <c r="V81" t="s">
        <v>2650</v>
      </c>
      <c r="W81" t="s">
        <v>2731</v>
      </c>
      <c r="X81">
        <v>2</v>
      </c>
      <c r="Y81" t="s">
        <v>4051</v>
      </c>
      <c r="Z81" t="s">
        <v>5361</v>
      </c>
      <c r="AA81">
        <v>1.1560116011651489</v>
      </c>
      <c r="AB81" t="str">
        <f>HYPERLINK("Melting_Curves/meltCurve_O60506_5_SYNCRIP.pdf", "Melting_Curves/meltCurve_O60506_5_SYNCRIP.pdf")</f>
        <v>Melting_Curves/meltCurve_O60506_5_SYNCRIP.pdf</v>
      </c>
    </row>
    <row r="82" spans="1:28" x14ac:dyDescent="0.25">
      <c r="A82" t="s">
        <v>86</v>
      </c>
      <c r="B82">
        <v>1</v>
      </c>
      <c r="C82">
        <v>0.79052373029078504</v>
      </c>
      <c r="D82">
        <v>1.1179779732192401</v>
      </c>
      <c r="E82">
        <v>1.3066318041359599</v>
      </c>
      <c r="F82">
        <v>1.05245226210284</v>
      </c>
      <c r="G82">
        <v>1.35353775453609</v>
      </c>
      <c r="H82">
        <v>1.72838919261548</v>
      </c>
      <c r="I82">
        <v>1.98486649235401</v>
      </c>
      <c r="J82">
        <v>1.5294350685365701</v>
      </c>
      <c r="K82">
        <v>1.5376753030663199</v>
      </c>
      <c r="L82">
        <v>14199.770290593</v>
      </c>
      <c r="M82">
        <v>250</v>
      </c>
      <c r="O82">
        <v>56.795430116132898</v>
      </c>
      <c r="P82">
        <v>0.55022016690386999</v>
      </c>
      <c r="Q82">
        <v>1.5</v>
      </c>
      <c r="R82">
        <v>0.62756230355046305</v>
      </c>
      <c r="S82" t="s">
        <v>1408</v>
      </c>
      <c r="T82" t="s">
        <v>2650</v>
      </c>
      <c r="U82" t="s">
        <v>2650</v>
      </c>
      <c r="V82" t="s">
        <v>2650</v>
      </c>
      <c r="W82" t="s">
        <v>2732</v>
      </c>
      <c r="X82">
        <v>1</v>
      </c>
      <c r="Y82" t="s">
        <v>4052</v>
      </c>
      <c r="Z82" t="s">
        <v>5362</v>
      </c>
      <c r="AA82">
        <v>1.219965473208741</v>
      </c>
      <c r="AB82" t="str">
        <f>HYPERLINK("Melting_Curves/meltCurve_O60513_B4GALT4.pdf", "Melting_Curves/meltCurve_O60513_B4GALT4.pdf")</f>
        <v>Melting_Curves/meltCurve_O60513_B4GALT4.pdf</v>
      </c>
    </row>
    <row r="83" spans="1:28" x14ac:dyDescent="0.25">
      <c r="A83" t="s">
        <v>87</v>
      </c>
      <c r="B83">
        <v>1</v>
      </c>
      <c r="C83">
        <v>0.90719161837193496</v>
      </c>
      <c r="D83">
        <v>1.3301091014086299</v>
      </c>
      <c r="E83">
        <v>1.7682265349475099</v>
      </c>
      <c r="F83">
        <v>1.2629364571947099</v>
      </c>
      <c r="G83">
        <v>1.3405861364901901</v>
      </c>
      <c r="H83">
        <v>1.2846123703260699</v>
      </c>
      <c r="I83">
        <v>1.3987254315589699</v>
      </c>
      <c r="J83">
        <v>0.74034277228947998</v>
      </c>
      <c r="K83">
        <v>1.1052653288510299</v>
      </c>
      <c r="L83">
        <v>11113.512523392301</v>
      </c>
      <c r="M83">
        <v>250</v>
      </c>
      <c r="O83">
        <v>44.451205306383102</v>
      </c>
      <c r="P83">
        <v>0.39208096739250697</v>
      </c>
      <c r="Q83">
        <v>1.27885554506904</v>
      </c>
      <c r="R83">
        <v>0.21868038937906401</v>
      </c>
      <c r="S83" t="s">
        <v>1409</v>
      </c>
      <c r="T83" t="s">
        <v>2650</v>
      </c>
      <c r="U83" t="s">
        <v>2650</v>
      </c>
      <c r="V83" t="s">
        <v>2650</v>
      </c>
      <c r="W83" t="s">
        <v>2733</v>
      </c>
      <c r="X83">
        <v>3</v>
      </c>
      <c r="Y83" t="s">
        <v>4053</v>
      </c>
      <c r="Z83" t="s">
        <v>5363</v>
      </c>
      <c r="AA83">
        <v>1.237432570941627</v>
      </c>
      <c r="AB83" t="str">
        <f>HYPERLINK("Melting_Curves/meltCurve_O60565_2_GREM1.pdf", "Melting_Curves/meltCurve_O60565_2_GREM1.pdf")</f>
        <v>Melting_Curves/meltCurve_O60565_2_GREM1.pdf</v>
      </c>
    </row>
    <row r="84" spans="1:28" x14ac:dyDescent="0.25">
      <c r="A84" t="s">
        <v>88</v>
      </c>
      <c r="B84">
        <v>1</v>
      </c>
      <c r="C84">
        <v>0.62919212147329495</v>
      </c>
      <c r="D84">
        <v>1.1241096098760399</v>
      </c>
      <c r="E84">
        <v>1.29002002585617</v>
      </c>
      <c r="F84">
        <v>0.91936424243960602</v>
      </c>
      <c r="G84">
        <v>1.21872544297701</v>
      </c>
      <c r="H84">
        <v>1.35364648026566</v>
      </c>
      <c r="I84">
        <v>1.76645795837664</v>
      </c>
      <c r="J84">
        <v>1.1439960455271401</v>
      </c>
      <c r="K84">
        <v>1.6632867753301701</v>
      </c>
      <c r="L84">
        <v>2177.8460349667598</v>
      </c>
      <c r="M84">
        <v>37.729359380199099</v>
      </c>
      <c r="O84">
        <v>57.561414494928101</v>
      </c>
      <c r="P84">
        <v>8.1933066104037902E-2</v>
      </c>
      <c r="Q84">
        <v>1.5</v>
      </c>
      <c r="R84">
        <v>0.525960455086946</v>
      </c>
      <c r="S84" t="s">
        <v>1410</v>
      </c>
      <c r="T84" t="s">
        <v>2650</v>
      </c>
      <c r="U84" t="s">
        <v>2650</v>
      </c>
      <c r="V84" t="s">
        <v>2650</v>
      </c>
      <c r="W84" t="s">
        <v>2734</v>
      </c>
      <c r="X84">
        <v>4</v>
      </c>
      <c r="Y84" t="s">
        <v>4054</v>
      </c>
      <c r="Z84" t="s">
        <v>5364</v>
      </c>
      <c r="AA84">
        <v>1.202427436090703</v>
      </c>
      <c r="AB84" t="str">
        <f>HYPERLINK("Melting_Curves/meltCurve_O60568_PLOD3.pdf", "Melting_Curves/meltCurve_O60568_PLOD3.pdf")</f>
        <v>Melting_Curves/meltCurve_O60568_PLOD3.pdf</v>
      </c>
    </row>
    <row r="85" spans="1:28" x14ac:dyDescent="0.25">
      <c r="A85" t="s">
        <v>89</v>
      </c>
      <c r="B85">
        <v>1</v>
      </c>
      <c r="C85">
        <v>0.88331962309303003</v>
      </c>
      <c r="D85">
        <v>1.0397098414597701</v>
      </c>
      <c r="E85">
        <v>1.08239231229435</v>
      </c>
      <c r="F85">
        <v>0.89128402632366099</v>
      </c>
      <c r="G85">
        <v>0.97535895901884495</v>
      </c>
      <c r="H85">
        <v>0.89390143583607495</v>
      </c>
      <c r="I85">
        <v>1.0823736165121101</v>
      </c>
      <c r="J85">
        <v>0.78408241100807696</v>
      </c>
      <c r="K85">
        <v>0.92076727490278198</v>
      </c>
      <c r="L85">
        <v>383.43107295449403</v>
      </c>
      <c r="M85">
        <v>3.40796187030876</v>
      </c>
      <c r="Q85">
        <v>0</v>
      </c>
      <c r="R85">
        <v>0.12193392815751899</v>
      </c>
      <c r="S85" t="s">
        <v>1411</v>
      </c>
      <c r="T85" t="s">
        <v>2650</v>
      </c>
      <c r="U85" t="s">
        <v>2650</v>
      </c>
      <c r="V85" t="s">
        <v>2650</v>
      </c>
      <c r="W85" t="s">
        <v>2735</v>
      </c>
      <c r="X85">
        <v>2</v>
      </c>
      <c r="Y85" t="s">
        <v>4055</v>
      </c>
      <c r="Z85" t="s">
        <v>5365</v>
      </c>
      <c r="AA85">
        <v>0.96229892932832173</v>
      </c>
      <c r="AB85" t="str">
        <f>HYPERLINK("Melting_Curves/meltCurve_O60613_SELENOF.pdf", "Melting_Curves/meltCurve_O60613_SELENOF.pdf")</f>
        <v>Melting_Curves/meltCurve_O60613_SELENOF.pdf</v>
      </c>
    </row>
    <row r="86" spans="1:28" x14ac:dyDescent="0.25">
      <c r="A86" t="s">
        <v>90</v>
      </c>
      <c r="B86">
        <v>1</v>
      </c>
      <c r="C86">
        <v>0.72252473349183199</v>
      </c>
      <c r="D86">
        <v>1.1857504409847399</v>
      </c>
      <c r="E86">
        <v>1.51250095866247</v>
      </c>
      <c r="F86">
        <v>1.15334764935961</v>
      </c>
      <c r="G86">
        <v>1.1854436689930199</v>
      </c>
      <c r="H86">
        <v>1.0996242043101501</v>
      </c>
      <c r="I86">
        <v>1.30094332387453</v>
      </c>
      <c r="J86">
        <v>0.725937571899686</v>
      </c>
      <c r="K86">
        <v>1.03704271799985</v>
      </c>
      <c r="L86">
        <v>1321.13484730661</v>
      </c>
      <c r="M86">
        <v>10.0287785950414</v>
      </c>
      <c r="Q86">
        <v>0</v>
      </c>
      <c r="R86">
        <v>-0.162668007234614</v>
      </c>
      <c r="S86" t="s">
        <v>1412</v>
      </c>
      <c r="T86" t="s">
        <v>2650</v>
      </c>
      <c r="U86" t="s">
        <v>2650</v>
      </c>
      <c r="V86" t="s">
        <v>2650</v>
      </c>
      <c r="W86" t="s">
        <v>2736</v>
      </c>
      <c r="X86">
        <v>3</v>
      </c>
      <c r="Y86" t="s">
        <v>4056</v>
      </c>
      <c r="Z86" t="s">
        <v>5366</v>
      </c>
      <c r="AA86">
        <v>0.99998381756596255</v>
      </c>
      <c r="AB86" t="str">
        <f>HYPERLINK("Melting_Curves/meltCurve_O60664_4_PLIN3.pdf", "Melting_Curves/meltCurve_O60664_4_PLIN3.pdf")</f>
        <v>Melting_Curves/meltCurve_O60664_4_PLIN3.pdf</v>
      </c>
    </row>
    <row r="87" spans="1:28" x14ac:dyDescent="0.25">
      <c r="A87" t="s">
        <v>91</v>
      </c>
      <c r="B87">
        <v>1</v>
      </c>
      <c r="C87">
        <v>0.89096202477845998</v>
      </c>
      <c r="D87">
        <v>1.1271649276409501</v>
      </c>
      <c r="E87">
        <v>1.7817752937926301</v>
      </c>
      <c r="F87">
        <v>1.40151305863102</v>
      </c>
      <c r="G87">
        <v>1.8150965849926699</v>
      </c>
      <c r="H87">
        <v>2.00775655056633</v>
      </c>
      <c r="I87">
        <v>3.0985825700745901</v>
      </c>
      <c r="J87">
        <v>2.1374078245532</v>
      </c>
      <c r="K87">
        <v>3.05565590666638</v>
      </c>
      <c r="L87">
        <v>11549.479956081699</v>
      </c>
      <c r="M87">
        <v>250</v>
      </c>
      <c r="O87">
        <v>46.194965181385399</v>
      </c>
      <c r="P87">
        <v>0.67648067435737302</v>
      </c>
      <c r="Q87">
        <v>1.5</v>
      </c>
      <c r="R87">
        <v>-6.4041169481280399E-2</v>
      </c>
      <c r="S87" t="s">
        <v>1413</v>
      </c>
      <c r="T87" t="s">
        <v>2650</v>
      </c>
      <c r="U87" t="s">
        <v>2650</v>
      </c>
      <c r="V87" t="s">
        <v>2650</v>
      </c>
      <c r="W87" t="s">
        <v>2737</v>
      </c>
      <c r="X87">
        <v>3</v>
      </c>
      <c r="Y87" t="s">
        <v>4057</v>
      </c>
      <c r="Z87" t="s">
        <v>5367</v>
      </c>
      <c r="AA87">
        <v>1.396660797946073</v>
      </c>
      <c r="AB87" t="str">
        <f>HYPERLINK("Melting_Curves/meltCurve_O60701_3_UGDH.pdf", "Melting_Curves/meltCurve_O60701_3_UGDH.pdf")</f>
        <v>Melting_Curves/meltCurve_O60701_3_UGDH.pdf</v>
      </c>
    </row>
    <row r="88" spans="1:28" x14ac:dyDescent="0.25">
      <c r="A88" t="s">
        <v>92</v>
      </c>
      <c r="B88">
        <v>1</v>
      </c>
      <c r="C88">
        <v>0.79360953581180405</v>
      </c>
      <c r="D88">
        <v>1.3141146817895399</v>
      </c>
      <c r="E88">
        <v>1.4431579500105001</v>
      </c>
      <c r="F88">
        <v>1.1356332703213601</v>
      </c>
      <c r="G88">
        <v>1.0855124973745001</v>
      </c>
      <c r="H88">
        <v>1.0453423650493601</v>
      </c>
      <c r="I88">
        <v>1.2160260449485401</v>
      </c>
      <c r="J88">
        <v>0.69300042007981499</v>
      </c>
      <c r="K88">
        <v>0.96384688090737203</v>
      </c>
      <c r="L88">
        <v>2135.9105284491302</v>
      </c>
      <c r="M88">
        <v>32.087588245160603</v>
      </c>
      <c r="O88">
        <v>66.3080664053672</v>
      </c>
      <c r="P88">
        <v>-1.7379994885028199E-2</v>
      </c>
      <c r="Q88">
        <v>0.85633970252313896</v>
      </c>
      <c r="R88">
        <v>-5.6644519506183301E-2</v>
      </c>
      <c r="S88" t="s">
        <v>1414</v>
      </c>
      <c r="T88" t="s">
        <v>2650</v>
      </c>
      <c r="U88" t="s">
        <v>2650</v>
      </c>
      <c r="V88" t="s">
        <v>2650</v>
      </c>
      <c r="W88" t="s">
        <v>2738</v>
      </c>
      <c r="X88">
        <v>1</v>
      </c>
      <c r="Y88" t="s">
        <v>4058</v>
      </c>
      <c r="Z88" t="s">
        <v>5368</v>
      </c>
      <c r="AA88">
        <v>0.98235722325855623</v>
      </c>
      <c r="AB88" t="str">
        <f>HYPERLINK("Melting_Curves/meltCurve_O60784_3_TOM1.pdf", "Melting_Curves/meltCurve_O60784_3_TOM1.pdf")</f>
        <v>Melting_Curves/meltCurve_O60784_3_TOM1.pdf</v>
      </c>
    </row>
    <row r="89" spans="1:28" x14ac:dyDescent="0.25">
      <c r="A89" t="s">
        <v>93</v>
      </c>
      <c r="B89">
        <v>1</v>
      </c>
      <c r="C89">
        <v>0.79863530036671204</v>
      </c>
      <c r="D89">
        <v>1.1199526032462701</v>
      </c>
      <c r="E89">
        <v>1.25560538116592</v>
      </c>
      <c r="F89">
        <v>1.22404159473733</v>
      </c>
      <c r="G89">
        <v>1.0881845204653899</v>
      </c>
      <c r="H89">
        <v>1.13558127419635</v>
      </c>
      <c r="I89">
        <v>1.4699122547166901</v>
      </c>
      <c r="J89">
        <v>0.87553244736815194</v>
      </c>
      <c r="K89">
        <v>1.2893142792935399</v>
      </c>
      <c r="L89">
        <v>11476.015799934199</v>
      </c>
      <c r="M89">
        <v>250</v>
      </c>
      <c r="O89">
        <v>45.9011259500382</v>
      </c>
      <c r="P89">
        <v>0.26029780268156699</v>
      </c>
      <c r="Q89">
        <v>1.19116739410864</v>
      </c>
      <c r="R89">
        <v>0.31296763288175</v>
      </c>
      <c r="S89" t="s">
        <v>1415</v>
      </c>
      <c r="T89" t="s">
        <v>2650</v>
      </c>
      <c r="U89" t="s">
        <v>2650</v>
      </c>
      <c r="V89" t="s">
        <v>2650</v>
      </c>
      <c r="W89" t="s">
        <v>2739</v>
      </c>
      <c r="X89">
        <v>1</v>
      </c>
      <c r="Y89" t="s">
        <v>4059</v>
      </c>
      <c r="Z89" t="s">
        <v>5369</v>
      </c>
      <c r="AA89">
        <v>1.15352984760329</v>
      </c>
      <c r="AB89" t="str">
        <f>HYPERLINK("Melting_Curves/meltCurve_O60884_DNAJA2.pdf", "Melting_Curves/meltCurve_O60884_DNAJA2.pdf")</f>
        <v>Melting_Curves/meltCurve_O60884_DNAJA2.pdf</v>
      </c>
    </row>
    <row r="90" spans="1:28" x14ac:dyDescent="0.25">
      <c r="A90" t="s">
        <v>94</v>
      </c>
      <c r="B90">
        <v>1</v>
      </c>
      <c r="C90">
        <v>1.32455836508486</v>
      </c>
      <c r="D90">
        <v>1.3017962294027401</v>
      </c>
      <c r="E90">
        <v>1.36142312830917</v>
      </c>
      <c r="F90">
        <v>1.5388688208224099</v>
      </c>
      <c r="G90">
        <v>1.7509525458953901</v>
      </c>
      <c r="H90">
        <v>1.4562323717155701</v>
      </c>
      <c r="I90">
        <v>1.8035033895789001</v>
      </c>
      <c r="J90">
        <v>1.3979415112078799</v>
      </c>
      <c r="K90">
        <v>1.5271908555594</v>
      </c>
      <c r="L90">
        <v>830.38160569250897</v>
      </c>
      <c r="M90">
        <v>19.099083318870601</v>
      </c>
      <c r="O90">
        <v>43.0093375828137</v>
      </c>
      <c r="P90">
        <v>5.5510705782351198E-2</v>
      </c>
      <c r="Q90">
        <v>1.5</v>
      </c>
      <c r="R90">
        <v>0.569451183623497</v>
      </c>
      <c r="S90" t="s">
        <v>1416</v>
      </c>
      <c r="T90" t="s">
        <v>2650</v>
      </c>
      <c r="U90" t="s">
        <v>2650</v>
      </c>
      <c r="V90" t="s">
        <v>2650</v>
      </c>
      <c r="W90" t="s">
        <v>2740</v>
      </c>
      <c r="X90">
        <v>3</v>
      </c>
      <c r="Y90" t="s">
        <v>4060</v>
      </c>
      <c r="Z90" t="s">
        <v>5370</v>
      </c>
      <c r="AA90">
        <v>1.4302241535153339</v>
      </c>
      <c r="AB90" t="str">
        <f>HYPERLINK("Melting_Curves/meltCurve_O60888_3_CUTA.pdf", "Melting_Curves/meltCurve_O60888_3_CUTA.pdf")</f>
        <v>Melting_Curves/meltCurve_O60888_3_CUTA.pdf</v>
      </c>
    </row>
    <row r="91" spans="1:28" x14ac:dyDescent="0.25">
      <c r="A91" t="s">
        <v>95</v>
      </c>
      <c r="B91">
        <v>1</v>
      </c>
      <c r="C91">
        <v>0.75173107652245996</v>
      </c>
      <c r="D91">
        <v>1.0601881990886</v>
      </c>
      <c r="E91">
        <v>1.10552169024087</v>
      </c>
      <c r="F91">
        <v>0.98798603302361399</v>
      </c>
      <c r="G91">
        <v>0.81671302598094297</v>
      </c>
      <c r="H91">
        <v>0.84322660827365803</v>
      </c>
      <c r="I91">
        <v>0.98123927324377103</v>
      </c>
      <c r="J91">
        <v>0.50729715334083003</v>
      </c>
      <c r="K91">
        <v>0.77575901047523199</v>
      </c>
      <c r="L91">
        <v>831.26798768321396</v>
      </c>
      <c r="M91">
        <v>13.154415690332</v>
      </c>
      <c r="O91">
        <v>61.786185419398798</v>
      </c>
      <c r="P91">
        <v>-2.0972445911100299E-2</v>
      </c>
      <c r="Q91">
        <v>0.60603682954795202</v>
      </c>
      <c r="R91">
        <v>0.359452998352632</v>
      </c>
      <c r="S91" t="s">
        <v>1417</v>
      </c>
      <c r="T91" t="s">
        <v>2650</v>
      </c>
      <c r="U91" t="s">
        <v>2650</v>
      </c>
      <c r="V91" t="s">
        <v>2650</v>
      </c>
      <c r="W91" t="s">
        <v>2741</v>
      </c>
      <c r="X91">
        <v>1</v>
      </c>
      <c r="Y91" t="s">
        <v>4061</v>
      </c>
      <c r="Z91" t="s">
        <v>5371</v>
      </c>
      <c r="AA91">
        <v>0.90411835999993084</v>
      </c>
      <c r="AB91" t="str">
        <f>HYPERLINK("Melting_Curves/meltCurve_O60925_PFDN1.pdf", "Melting_Curves/meltCurve_O60925_PFDN1.pdf")</f>
        <v>Melting_Curves/meltCurve_O60925_PFDN1.pdf</v>
      </c>
    </row>
    <row r="92" spans="1:28" x14ac:dyDescent="0.25">
      <c r="A92" t="s">
        <v>96</v>
      </c>
      <c r="B92">
        <v>1</v>
      </c>
      <c r="C92">
        <v>0.69253150770188299</v>
      </c>
      <c r="D92">
        <v>1.1305430216275101</v>
      </c>
      <c r="E92">
        <v>1.1572273222343199</v>
      </c>
      <c r="F92">
        <v>0.89170686167729896</v>
      </c>
      <c r="G92">
        <v>0.93340594367512097</v>
      </c>
      <c r="H92">
        <v>0.93496187957056198</v>
      </c>
      <c r="I92">
        <v>1.26590944453089</v>
      </c>
      <c r="J92">
        <v>0.75824646024583797</v>
      </c>
      <c r="K92">
        <v>0.95168819044655395</v>
      </c>
      <c r="L92">
        <v>1569.01486048217</v>
      </c>
      <c r="M92">
        <v>22.476217984962901</v>
      </c>
      <c r="O92">
        <v>69.262228796973304</v>
      </c>
      <c r="P92">
        <v>-1.3566635492405801E-2</v>
      </c>
      <c r="Q92">
        <v>0.83277682365719796</v>
      </c>
      <c r="R92">
        <v>1.30579398473522E-2</v>
      </c>
      <c r="S92" t="s">
        <v>1418</v>
      </c>
      <c r="T92" t="s">
        <v>2650</v>
      </c>
      <c r="U92" t="s">
        <v>2650</v>
      </c>
      <c r="V92" t="s">
        <v>2650</v>
      </c>
      <c r="W92" t="s">
        <v>2742</v>
      </c>
      <c r="X92">
        <v>1</v>
      </c>
      <c r="Y92" t="s">
        <v>4062</v>
      </c>
      <c r="Z92" t="s">
        <v>5372</v>
      </c>
      <c r="AA92">
        <v>0.98856602129530446</v>
      </c>
      <c r="AB92" t="str">
        <f>HYPERLINK("Melting_Curves/meltCurve_O60936_NOL3.pdf", "Melting_Curves/meltCurve_O60936_NOL3.pdf")</f>
        <v>Melting_Curves/meltCurve_O60936_NOL3.pdf</v>
      </c>
    </row>
    <row r="93" spans="1:28" x14ac:dyDescent="0.25">
      <c r="A93" t="s">
        <v>97</v>
      </c>
      <c r="B93">
        <v>1</v>
      </c>
      <c r="C93">
        <v>0.84303462860163902</v>
      </c>
      <c r="D93">
        <v>1.0658736452550901</v>
      </c>
      <c r="E93">
        <v>1.3463917525773199</v>
      </c>
      <c r="F93">
        <v>0.81873292801127895</v>
      </c>
      <c r="G93">
        <v>1.12845184597762</v>
      </c>
      <c r="H93">
        <v>1.32975592563221</v>
      </c>
      <c r="I93">
        <v>1.2897347783945701</v>
      </c>
      <c r="J93">
        <v>0.85951185126442897</v>
      </c>
      <c r="K93">
        <v>1.2982994096396201</v>
      </c>
      <c r="L93">
        <v>639.53227789333698</v>
      </c>
      <c r="M93">
        <v>12.5359041970107</v>
      </c>
      <c r="O93">
        <v>49.770032563409202</v>
      </c>
      <c r="P93">
        <v>1.14120321207447E-2</v>
      </c>
      <c r="Q93">
        <v>1.1811952869379401</v>
      </c>
      <c r="R93">
        <v>0.146723284519678</v>
      </c>
      <c r="S93" t="s">
        <v>1419</v>
      </c>
      <c r="T93" t="s">
        <v>2650</v>
      </c>
      <c r="U93" t="s">
        <v>2650</v>
      </c>
      <c r="V93" t="s">
        <v>2650</v>
      </c>
      <c r="W93" t="s">
        <v>2743</v>
      </c>
      <c r="X93">
        <v>1</v>
      </c>
      <c r="Y93" t="s">
        <v>4063</v>
      </c>
      <c r="Z93" t="s">
        <v>5373</v>
      </c>
      <c r="AA93">
        <v>1.109119067019757</v>
      </c>
      <c r="AB93" t="str">
        <f>HYPERLINK("Melting_Curves/meltCurve_O75071_EFCAB14.pdf", "Melting_Curves/meltCurve_O75071_EFCAB14.pdf")</f>
        <v>Melting_Curves/meltCurve_O75071_EFCAB14.pdf</v>
      </c>
    </row>
    <row r="94" spans="1:28" x14ac:dyDescent="0.25">
      <c r="A94" t="s">
        <v>98</v>
      </c>
      <c r="B94">
        <v>1</v>
      </c>
      <c r="C94">
        <v>0.72635709339656296</v>
      </c>
      <c r="D94">
        <v>1.0956837400591699</v>
      </c>
      <c r="E94">
        <v>1.2517993159451899</v>
      </c>
      <c r="F94">
        <v>1.09253624860986</v>
      </c>
      <c r="G94">
        <v>1.2036426967706699</v>
      </c>
      <c r="H94">
        <v>0.97211322575907</v>
      </c>
      <c r="I94">
        <v>1.2918773737331299</v>
      </c>
      <c r="J94">
        <v>0.93044043897014095</v>
      </c>
      <c r="K94">
        <v>1.1645928195228401</v>
      </c>
      <c r="L94">
        <v>11452.2526961117</v>
      </c>
      <c r="M94">
        <v>250</v>
      </c>
      <c r="O94">
        <v>45.806079101307503</v>
      </c>
      <c r="P94">
        <v>0.176793860079586</v>
      </c>
      <c r="Q94">
        <v>1.12957173707392</v>
      </c>
      <c r="R94">
        <v>0.28040023778814599</v>
      </c>
      <c r="S94" t="s">
        <v>1420</v>
      </c>
      <c r="T94" t="s">
        <v>2650</v>
      </c>
      <c r="U94" t="s">
        <v>2650</v>
      </c>
      <c r="V94" t="s">
        <v>2650</v>
      </c>
      <c r="W94" t="s">
        <v>2744</v>
      </c>
      <c r="X94">
        <v>1</v>
      </c>
      <c r="Y94" t="s">
        <v>4064</v>
      </c>
      <c r="Z94" t="s">
        <v>5374</v>
      </c>
      <c r="AA94">
        <v>1.104471866336542</v>
      </c>
      <c r="AB94" t="str">
        <f>HYPERLINK("Melting_Curves/meltCurve_O75083_3_WDR1.pdf", "Melting_Curves/meltCurve_O75083_3_WDR1.pdf")</f>
        <v>Melting_Curves/meltCurve_O75083_3_WDR1.pdf</v>
      </c>
    </row>
    <row r="95" spans="1:28" x14ac:dyDescent="0.25">
      <c r="A95" t="s">
        <v>99</v>
      </c>
      <c r="B95">
        <v>1</v>
      </c>
      <c r="C95">
        <v>0.75565298339389197</v>
      </c>
      <c r="D95">
        <v>1.1658508753490899</v>
      </c>
      <c r="E95">
        <v>1.5046995585718099</v>
      </c>
      <c r="F95">
        <v>1.2517041530284401</v>
      </c>
      <c r="G95">
        <v>1.3784871325185399</v>
      </c>
      <c r="H95">
        <v>1.37995855980301</v>
      </c>
      <c r="I95">
        <v>1.8395243386084501</v>
      </c>
      <c r="J95">
        <v>1.1023692982192701</v>
      </c>
      <c r="K95">
        <v>1.46019639049878</v>
      </c>
      <c r="L95">
        <v>11519.0341175706</v>
      </c>
      <c r="M95">
        <v>250</v>
      </c>
      <c r="O95">
        <v>46.073190725863299</v>
      </c>
      <c r="P95">
        <v>0.56527675403007105</v>
      </c>
      <c r="Q95">
        <v>1.41670563322735</v>
      </c>
      <c r="R95">
        <v>0.53707271782057997</v>
      </c>
      <c r="S95" t="s">
        <v>1421</v>
      </c>
      <c r="T95" t="s">
        <v>2650</v>
      </c>
      <c r="U95" t="s">
        <v>2650</v>
      </c>
      <c r="V95" t="s">
        <v>2650</v>
      </c>
      <c r="W95" t="s">
        <v>2745</v>
      </c>
      <c r="X95">
        <v>3</v>
      </c>
      <c r="Y95" t="s">
        <v>4065</v>
      </c>
      <c r="Z95" t="s">
        <v>5375</v>
      </c>
      <c r="AA95">
        <v>1.3322732606863059</v>
      </c>
      <c r="AB95" t="str">
        <f>HYPERLINK("Melting_Curves/meltCurve_O75093_SLIT1.pdf", "Melting_Curves/meltCurve_O75093_SLIT1.pdf")</f>
        <v>Melting_Curves/meltCurve_O75093_SLIT1.pdf</v>
      </c>
    </row>
    <row r="96" spans="1:28" x14ac:dyDescent="0.25">
      <c r="A96" t="s">
        <v>100</v>
      </c>
      <c r="B96">
        <v>1</v>
      </c>
      <c r="C96">
        <v>0.80277342451441303</v>
      </c>
      <c r="D96">
        <v>1.31675927245097</v>
      </c>
      <c r="E96">
        <v>1.6414493992496599</v>
      </c>
      <c r="F96">
        <v>1.1364391888683101</v>
      </c>
      <c r="G96">
        <v>1.23555112314195</v>
      </c>
      <c r="H96">
        <v>1.16953982048725</v>
      </c>
      <c r="I96">
        <v>1.3982998527805499</v>
      </c>
      <c r="J96">
        <v>0.67293536591157299</v>
      </c>
      <c r="K96">
        <v>1.0834401861613701</v>
      </c>
      <c r="L96">
        <v>11113.510175789101</v>
      </c>
      <c r="M96">
        <v>250</v>
      </c>
      <c r="O96">
        <v>44.451195916555399</v>
      </c>
      <c r="P96">
        <v>0.29077060055908199</v>
      </c>
      <c r="Q96">
        <v>1.20680161477954</v>
      </c>
      <c r="R96">
        <v>0.181817712801841</v>
      </c>
      <c r="S96" t="s">
        <v>1422</v>
      </c>
      <c r="T96" t="s">
        <v>2650</v>
      </c>
      <c r="U96" t="s">
        <v>2650</v>
      </c>
      <c r="V96" t="s">
        <v>2650</v>
      </c>
      <c r="W96" t="s">
        <v>2746</v>
      </c>
      <c r="X96">
        <v>3</v>
      </c>
      <c r="Y96" t="s">
        <v>4066</v>
      </c>
      <c r="Z96" t="s">
        <v>5376</v>
      </c>
      <c r="AA96">
        <v>1.1760820539236101</v>
      </c>
      <c r="AB96" t="str">
        <f>HYPERLINK("Melting_Curves/meltCurve_O75095_MEGF6.pdf", "Melting_Curves/meltCurve_O75095_MEGF6.pdf")</f>
        <v>Melting_Curves/meltCurve_O75095_MEGF6.pdf</v>
      </c>
    </row>
    <row r="97" spans="1:28" x14ac:dyDescent="0.25">
      <c r="A97" t="s">
        <v>101</v>
      </c>
      <c r="B97">
        <v>1</v>
      </c>
      <c r="C97">
        <v>0.89419563553385994</v>
      </c>
      <c r="D97">
        <v>1.17452087635938</v>
      </c>
      <c r="E97">
        <v>1.3774064499357299</v>
      </c>
      <c r="F97">
        <v>1.27921318294074</v>
      </c>
      <c r="G97">
        <v>1.2236680579425501</v>
      </c>
      <c r="H97">
        <v>1.1760517612397301</v>
      </c>
      <c r="I97">
        <v>1.54287199780477</v>
      </c>
      <c r="J97">
        <v>0.98880720960124802</v>
      </c>
      <c r="K97">
        <v>1.3193339206539501</v>
      </c>
      <c r="L97">
        <v>11473.434784041599</v>
      </c>
      <c r="M97">
        <v>250</v>
      </c>
      <c r="O97">
        <v>45.890802364309003</v>
      </c>
      <c r="P97">
        <v>0.37109688635094501</v>
      </c>
      <c r="Q97">
        <v>1.2724789408627499</v>
      </c>
      <c r="R97">
        <v>0.45703730218051403</v>
      </c>
      <c r="S97" t="s">
        <v>1423</v>
      </c>
      <c r="T97" t="s">
        <v>2650</v>
      </c>
      <c r="U97" t="s">
        <v>2650</v>
      </c>
      <c r="V97" t="s">
        <v>2650</v>
      </c>
      <c r="W97" t="s">
        <v>2747</v>
      </c>
      <c r="X97">
        <v>1</v>
      </c>
      <c r="Y97" t="s">
        <v>4067</v>
      </c>
      <c r="Z97" t="s">
        <v>5377</v>
      </c>
      <c r="AA97">
        <v>1.2189263347283541</v>
      </c>
      <c r="AB97" t="str">
        <f>HYPERLINK("Melting_Curves/meltCurve_O75144_3_ICOSLG.pdf", "Melting_Curves/meltCurve_O75144_3_ICOSLG.pdf")</f>
        <v>Melting_Curves/meltCurve_O75144_3_ICOSLG.pdf</v>
      </c>
    </row>
    <row r="98" spans="1:28" x14ac:dyDescent="0.25">
      <c r="A98" t="s">
        <v>102</v>
      </c>
      <c r="B98">
        <v>1</v>
      </c>
      <c r="C98">
        <v>0.78349610176446405</v>
      </c>
      <c r="D98">
        <v>1.2246204349610199</v>
      </c>
      <c r="E98">
        <v>1.4797702092737</v>
      </c>
      <c r="F98">
        <v>1.5725071809602</v>
      </c>
      <c r="G98">
        <v>1.59647107098892</v>
      </c>
      <c r="H98">
        <v>1.58506360279032</v>
      </c>
      <c r="I98">
        <v>1.9032416906031999</v>
      </c>
      <c r="J98">
        <v>1.2408699220352899</v>
      </c>
      <c r="K98">
        <v>1.61091505949938</v>
      </c>
      <c r="L98">
        <v>11509.371968646199</v>
      </c>
      <c r="M98">
        <v>250</v>
      </c>
      <c r="O98">
        <v>46.034541540535102</v>
      </c>
      <c r="P98">
        <v>0.67883808174891902</v>
      </c>
      <c r="Q98">
        <v>1.5</v>
      </c>
      <c r="R98">
        <v>0.68975158495449795</v>
      </c>
      <c r="S98" t="s">
        <v>1424</v>
      </c>
      <c r="T98" t="s">
        <v>2650</v>
      </c>
      <c r="U98" t="s">
        <v>2650</v>
      </c>
      <c r="V98" t="s">
        <v>2650</v>
      </c>
      <c r="W98" t="s">
        <v>2748</v>
      </c>
      <c r="X98">
        <v>4</v>
      </c>
      <c r="Y98" t="s">
        <v>4068</v>
      </c>
      <c r="Z98" t="s">
        <v>5378</v>
      </c>
      <c r="AA98">
        <v>1.3993348045528939</v>
      </c>
      <c r="AB98" t="str">
        <f>HYPERLINK("Melting_Curves/meltCurve_O75223_3_GGCT.pdf", "Melting_Curves/meltCurve_O75223_3_GGCT.pdf")</f>
        <v>Melting_Curves/meltCurve_O75223_3_GGCT.pdf</v>
      </c>
    </row>
    <row r="99" spans="1:28" x14ac:dyDescent="0.25">
      <c r="A99" t="s">
        <v>103</v>
      </c>
      <c r="B99">
        <v>1</v>
      </c>
      <c r="C99">
        <v>0.76674727142016896</v>
      </c>
      <c r="D99">
        <v>1.1042415528396801</v>
      </c>
      <c r="E99">
        <v>1.1161362002483499</v>
      </c>
      <c r="F99">
        <v>0.94588588981112298</v>
      </c>
      <c r="G99">
        <v>0.90307823018103395</v>
      </c>
      <c r="H99">
        <v>0.91222795895693098</v>
      </c>
      <c r="I99">
        <v>0.99954251356120505</v>
      </c>
      <c r="J99">
        <v>0.58572642310960099</v>
      </c>
      <c r="K99">
        <v>0.89281746291092101</v>
      </c>
      <c r="L99">
        <v>1103.39182245907</v>
      </c>
      <c r="M99">
        <v>17.607420053350101</v>
      </c>
      <c r="O99">
        <v>61.8747049648154</v>
      </c>
      <c r="P99">
        <v>-1.7620083467002501E-2</v>
      </c>
      <c r="Q99">
        <v>0.75233643533217198</v>
      </c>
      <c r="R99">
        <v>0.23815165410363701</v>
      </c>
      <c r="S99" t="s">
        <v>1425</v>
      </c>
      <c r="T99" t="s">
        <v>2650</v>
      </c>
      <c r="U99" t="s">
        <v>2650</v>
      </c>
      <c r="V99" t="s">
        <v>2650</v>
      </c>
      <c r="W99" t="s">
        <v>2749</v>
      </c>
      <c r="X99">
        <v>1</v>
      </c>
      <c r="Y99" t="s">
        <v>4069</v>
      </c>
      <c r="Z99" t="s">
        <v>5379</v>
      </c>
      <c r="AA99">
        <v>0.93894255843663721</v>
      </c>
      <c r="AB99" t="str">
        <f>HYPERLINK("Melting_Curves/meltCurve_O75310_UGT2B11.pdf", "Melting_Curves/meltCurve_O75310_UGT2B11.pdf")</f>
        <v>Melting_Curves/meltCurve_O75310_UGT2B11.pdf</v>
      </c>
    </row>
    <row r="100" spans="1:28" x14ac:dyDescent="0.25">
      <c r="A100" t="s">
        <v>104</v>
      </c>
      <c r="B100">
        <v>1</v>
      </c>
      <c r="C100">
        <v>0.86611987381703504</v>
      </c>
      <c r="D100">
        <v>1.2287381703469999</v>
      </c>
      <c r="E100">
        <v>1.8013564668769699</v>
      </c>
      <c r="F100">
        <v>1.89315457413249</v>
      </c>
      <c r="G100">
        <v>2.0651735015772901</v>
      </c>
      <c r="H100">
        <v>2.09078864353312</v>
      </c>
      <c r="I100">
        <v>2.5467507886435299</v>
      </c>
      <c r="J100">
        <v>1.69277602523659</v>
      </c>
      <c r="K100">
        <v>2.2830914826498399</v>
      </c>
      <c r="L100">
        <v>11507.843301773801</v>
      </c>
      <c r="M100">
        <v>250</v>
      </c>
      <c r="O100">
        <v>46.028427259009099</v>
      </c>
      <c r="P100">
        <v>0.678928256533191</v>
      </c>
      <c r="Q100">
        <v>1.5</v>
      </c>
      <c r="R100">
        <v>3.5438566911363802E-2</v>
      </c>
      <c r="S100" t="s">
        <v>1426</v>
      </c>
      <c r="T100" t="s">
        <v>2650</v>
      </c>
      <c r="U100" t="s">
        <v>2650</v>
      </c>
      <c r="V100" t="s">
        <v>2650</v>
      </c>
      <c r="W100" t="s">
        <v>2750</v>
      </c>
      <c r="X100">
        <v>5</v>
      </c>
      <c r="Y100" t="s">
        <v>4070</v>
      </c>
      <c r="Z100" t="s">
        <v>5380</v>
      </c>
      <c r="AA100">
        <v>1.3994367210432941</v>
      </c>
      <c r="AB100" t="str">
        <f>HYPERLINK("Melting_Curves/meltCurve_O75326_2_SEMA7A.pdf", "Melting_Curves/meltCurve_O75326_2_SEMA7A.pdf")</f>
        <v>Melting_Curves/meltCurve_O75326_2_SEMA7A.pdf</v>
      </c>
    </row>
    <row r="101" spans="1:28" x14ac:dyDescent="0.25">
      <c r="A101" t="s">
        <v>105</v>
      </c>
      <c r="B101">
        <v>1</v>
      </c>
      <c r="C101">
        <v>0.73951487632931101</v>
      </c>
      <c r="D101">
        <v>1.0535308878002101</v>
      </c>
      <c r="E101">
        <v>1.14043892141634</v>
      </c>
      <c r="F101">
        <v>0.91950452065161103</v>
      </c>
      <c r="G101">
        <v>0.88321981917393599</v>
      </c>
      <c r="H101">
        <v>0.89142470227426596</v>
      </c>
      <c r="I101">
        <v>0.98386904050663204</v>
      </c>
      <c r="J101">
        <v>0.63141753295893599</v>
      </c>
      <c r="K101">
        <v>0.88146731987095195</v>
      </c>
      <c r="L101">
        <v>862.93214303152899</v>
      </c>
      <c r="M101">
        <v>14.2151590981747</v>
      </c>
      <c r="O101">
        <v>59.541601204832801</v>
      </c>
      <c r="P101">
        <v>-1.35066234458576E-2</v>
      </c>
      <c r="Q101">
        <v>0.77373289189318495</v>
      </c>
      <c r="R101">
        <v>0.18365496506040199</v>
      </c>
      <c r="S101" t="s">
        <v>1427</v>
      </c>
      <c r="T101" t="s">
        <v>2650</v>
      </c>
      <c r="U101" t="s">
        <v>2650</v>
      </c>
      <c r="V101" t="s">
        <v>2650</v>
      </c>
      <c r="W101" t="s">
        <v>2751</v>
      </c>
      <c r="X101">
        <v>4</v>
      </c>
      <c r="Y101" t="s">
        <v>4071</v>
      </c>
      <c r="Z101" t="s">
        <v>5381</v>
      </c>
      <c r="AA101">
        <v>0.93052137113590416</v>
      </c>
      <c r="AB101" t="str">
        <f>HYPERLINK("Melting_Curves/meltCurve_O75347_TBCA.pdf", "Melting_Curves/meltCurve_O75347_TBCA.pdf")</f>
        <v>Melting_Curves/meltCurve_O75347_TBCA.pdf</v>
      </c>
    </row>
    <row r="102" spans="1:28" x14ac:dyDescent="0.25">
      <c r="A102" t="s">
        <v>106</v>
      </c>
      <c r="B102">
        <v>1</v>
      </c>
      <c r="C102">
        <v>0.60888077858880796</v>
      </c>
      <c r="D102">
        <v>0.99591105704244398</v>
      </c>
      <c r="E102">
        <v>1.18221140848878</v>
      </c>
      <c r="F102">
        <v>0.769802649364693</v>
      </c>
      <c r="G102">
        <v>0.80805623141389604</v>
      </c>
      <c r="H102">
        <v>0.84380913760475795</v>
      </c>
      <c r="I102">
        <v>0.87398621248986197</v>
      </c>
      <c r="J102">
        <v>0.435151392268181</v>
      </c>
      <c r="K102">
        <v>0.74107866991078697</v>
      </c>
      <c r="L102">
        <v>295.71960844677602</v>
      </c>
      <c r="M102">
        <v>3.5872591068028701</v>
      </c>
      <c r="O102">
        <v>65.217105888731098</v>
      </c>
      <c r="P102">
        <v>-1.40003035133704E-2</v>
      </c>
      <c r="Q102">
        <v>0</v>
      </c>
      <c r="R102">
        <v>0.213395856339714</v>
      </c>
      <c r="S102" t="s">
        <v>1428</v>
      </c>
      <c r="T102" t="s">
        <v>2650</v>
      </c>
      <c r="U102" t="s">
        <v>2650</v>
      </c>
      <c r="V102" t="s">
        <v>2650</v>
      </c>
      <c r="W102" t="s">
        <v>2752</v>
      </c>
      <c r="X102">
        <v>1</v>
      </c>
      <c r="Y102" t="s">
        <v>4072</v>
      </c>
      <c r="Z102" t="s">
        <v>5382</v>
      </c>
      <c r="AA102">
        <v>0.84272803385488126</v>
      </c>
      <c r="AB102" t="str">
        <f>HYPERLINK("Melting_Curves/meltCurve_O75348_ATP6V1G1.pdf", "Melting_Curves/meltCurve_O75348_ATP6V1G1.pdf")</f>
        <v>Melting_Curves/meltCurve_O75348_ATP6V1G1.pdf</v>
      </c>
    </row>
    <row r="103" spans="1:28" x14ac:dyDescent="0.25">
      <c r="A103" t="s">
        <v>107</v>
      </c>
      <c r="B103">
        <v>1</v>
      </c>
      <c r="C103">
        <v>0.87754958750219403</v>
      </c>
      <c r="D103">
        <v>1.2176233105143099</v>
      </c>
      <c r="E103">
        <v>1.4765315078111301</v>
      </c>
      <c r="F103">
        <v>1.4528699315429201</v>
      </c>
      <c r="G103">
        <v>2.0082148499210102</v>
      </c>
      <c r="H103">
        <v>2.1888011233982798</v>
      </c>
      <c r="I103">
        <v>2.7335439705107998</v>
      </c>
      <c r="J103">
        <v>1.7877479375109699</v>
      </c>
      <c r="K103">
        <v>2.5439354045989102</v>
      </c>
      <c r="L103">
        <v>11511.9819131026</v>
      </c>
      <c r="M103">
        <v>250</v>
      </c>
      <c r="O103">
        <v>46.044980716735097</v>
      </c>
      <c r="P103">
        <v>0.67868417865039299</v>
      </c>
      <c r="Q103">
        <v>1.5</v>
      </c>
      <c r="R103">
        <v>4.9457923640880599E-2</v>
      </c>
      <c r="S103" t="s">
        <v>1429</v>
      </c>
      <c r="T103" t="s">
        <v>2650</v>
      </c>
      <c r="U103" t="s">
        <v>2650</v>
      </c>
      <c r="V103" t="s">
        <v>2650</v>
      </c>
      <c r="W103" t="s">
        <v>2753</v>
      </c>
      <c r="X103">
        <v>3</v>
      </c>
      <c r="Y103" t="s">
        <v>4073</v>
      </c>
      <c r="Z103" t="s">
        <v>5383</v>
      </c>
      <c r="AA103">
        <v>1.399160799094977</v>
      </c>
      <c r="AB103" t="str">
        <f>HYPERLINK("Melting_Curves/meltCurve_O75356_ENTPD5.pdf", "Melting_Curves/meltCurve_O75356_ENTPD5.pdf")</f>
        <v>Melting_Curves/meltCurve_O75356_ENTPD5.pdf</v>
      </c>
    </row>
    <row r="104" spans="1:28" x14ac:dyDescent="0.25">
      <c r="A104" t="s">
        <v>108</v>
      </c>
      <c r="B104">
        <v>1</v>
      </c>
      <c r="C104">
        <v>0.677022184950827</v>
      </c>
      <c r="D104">
        <v>1.02132728520241</v>
      </c>
      <c r="E104">
        <v>1.2300068613249999</v>
      </c>
      <c r="F104">
        <v>0.88896089044751103</v>
      </c>
      <c r="G104">
        <v>0.85894259358084901</v>
      </c>
      <c r="H104">
        <v>0.869577647327895</v>
      </c>
      <c r="I104">
        <v>0.94785393001448504</v>
      </c>
      <c r="J104">
        <v>0.58124952351909698</v>
      </c>
      <c r="K104">
        <v>0.84725928184798305</v>
      </c>
      <c r="L104">
        <v>951.86858351812998</v>
      </c>
      <c r="M104">
        <v>15.910575535803</v>
      </c>
      <c r="O104">
        <v>58.904997628284697</v>
      </c>
      <c r="P104">
        <v>-1.7445678404257502E-2</v>
      </c>
      <c r="Q104">
        <v>0.74166734991172301</v>
      </c>
      <c r="R104">
        <v>0.18100508347288699</v>
      </c>
      <c r="S104" t="s">
        <v>1430</v>
      </c>
      <c r="T104" t="s">
        <v>2650</v>
      </c>
      <c r="U104" t="s">
        <v>2650</v>
      </c>
      <c r="V104" t="s">
        <v>2650</v>
      </c>
      <c r="W104" t="s">
        <v>2754</v>
      </c>
      <c r="X104">
        <v>3</v>
      </c>
      <c r="Y104" t="s">
        <v>4074</v>
      </c>
      <c r="Z104" t="s">
        <v>5384</v>
      </c>
      <c r="AA104">
        <v>0.91449000644367873</v>
      </c>
      <c r="AB104" t="str">
        <f>HYPERLINK("Melting_Curves/meltCurve_O75363_BCAS1.pdf", "Melting_Curves/meltCurve_O75363_BCAS1.pdf")</f>
        <v>Melting_Curves/meltCurve_O75363_BCAS1.pdf</v>
      </c>
    </row>
    <row r="105" spans="1:28" x14ac:dyDescent="0.25">
      <c r="A105" t="s">
        <v>109</v>
      </c>
      <c r="B105">
        <v>1</v>
      </c>
      <c r="C105">
        <v>0.79107536246734</v>
      </c>
      <c r="D105">
        <v>1.14621650699319</v>
      </c>
      <c r="E105">
        <v>1.30995440340181</v>
      </c>
      <c r="F105">
        <v>1.1206004405963399</v>
      </c>
      <c r="G105">
        <v>1.02341308468672</v>
      </c>
      <c r="H105">
        <v>1.01992929965674</v>
      </c>
      <c r="I105">
        <v>1.1732158409754601</v>
      </c>
      <c r="J105">
        <v>0.73010912444285103</v>
      </c>
      <c r="K105">
        <v>0.99282750140888398</v>
      </c>
      <c r="L105">
        <v>1710.68262414225</v>
      </c>
      <c r="M105">
        <v>25.567282353364298</v>
      </c>
      <c r="O105">
        <v>66.503735453378695</v>
      </c>
      <c r="P105">
        <v>-1.05651441805691E-2</v>
      </c>
      <c r="Q105">
        <v>0.89007621776228096</v>
      </c>
      <c r="R105">
        <v>6.0126814558421103E-3</v>
      </c>
      <c r="S105" t="s">
        <v>1431</v>
      </c>
      <c r="T105" t="s">
        <v>2650</v>
      </c>
      <c r="U105" t="s">
        <v>2650</v>
      </c>
      <c r="V105" t="s">
        <v>2650</v>
      </c>
      <c r="W105" t="s">
        <v>2755</v>
      </c>
      <c r="X105">
        <v>6</v>
      </c>
      <c r="Y105" t="s">
        <v>4075</v>
      </c>
      <c r="Z105" t="s">
        <v>5385</v>
      </c>
      <c r="AA105">
        <v>0.98669720743090084</v>
      </c>
      <c r="AB105" t="str">
        <f>HYPERLINK("Melting_Curves/meltCurve_O75368_SH3BGRL.pdf", "Melting_Curves/meltCurve_O75368_SH3BGRL.pdf")</f>
        <v>Melting_Curves/meltCurve_O75368_SH3BGRL.pdf</v>
      </c>
    </row>
    <row r="106" spans="1:28" x14ac:dyDescent="0.25">
      <c r="A106" t="s">
        <v>110</v>
      </c>
      <c r="B106">
        <v>1</v>
      </c>
      <c r="C106">
        <v>0.86754596074283796</v>
      </c>
      <c r="D106">
        <v>1.1881046442902901</v>
      </c>
      <c r="E106">
        <v>1.36721933617445</v>
      </c>
      <c r="F106">
        <v>1.23712943665039</v>
      </c>
      <c r="G106">
        <v>1.22384670420257</v>
      </c>
      <c r="H106">
        <v>1.1158428469219499</v>
      </c>
      <c r="I106">
        <v>1.3239182505366001</v>
      </c>
      <c r="J106">
        <v>0.92459638535477695</v>
      </c>
      <c r="K106">
        <v>1.1882290726972999</v>
      </c>
      <c r="L106">
        <v>11360.937349486299</v>
      </c>
      <c r="M106">
        <v>250</v>
      </c>
      <c r="O106">
        <v>45.440825292327297</v>
      </c>
      <c r="P106">
        <v>0.27130704861768701</v>
      </c>
      <c r="Q106">
        <v>1.19725472878606</v>
      </c>
      <c r="R106">
        <v>0.410188972351338</v>
      </c>
      <c r="S106" t="s">
        <v>1432</v>
      </c>
      <c r="T106" t="s">
        <v>2650</v>
      </c>
      <c r="U106" t="s">
        <v>2650</v>
      </c>
      <c r="V106" t="s">
        <v>2650</v>
      </c>
      <c r="W106" t="s">
        <v>2756</v>
      </c>
      <c r="X106">
        <v>27</v>
      </c>
      <c r="Y106" t="s">
        <v>4076</v>
      </c>
      <c r="Z106" t="s">
        <v>5386</v>
      </c>
      <c r="AA106">
        <v>1.161445486746256</v>
      </c>
      <c r="AB106" t="str">
        <f>HYPERLINK("Melting_Curves/meltCurve_O75369_7_FLNB.pdf", "Melting_Curves/meltCurve_O75369_7_FLNB.pdf")</f>
        <v>Melting_Curves/meltCurve_O75369_7_FLNB.pdf</v>
      </c>
    </row>
    <row r="107" spans="1:28" x14ac:dyDescent="0.25">
      <c r="A107" t="s">
        <v>111</v>
      </c>
      <c r="B107">
        <v>1</v>
      </c>
      <c r="C107">
        <v>1.5116432544546099</v>
      </c>
      <c r="D107">
        <v>1.7445711951227201</v>
      </c>
      <c r="E107">
        <v>2.6819395996354598</v>
      </c>
      <c r="F107">
        <v>2.5422833977561998</v>
      </c>
      <c r="G107">
        <v>2.9035542566229799</v>
      </c>
      <c r="H107">
        <v>2.28877156594702</v>
      </c>
      <c r="I107">
        <v>3.0526067691147398</v>
      </c>
      <c r="J107">
        <v>2.02963451808554</v>
      </c>
      <c r="K107">
        <v>2.4232110870180099</v>
      </c>
      <c r="L107">
        <v>10283.7507708742</v>
      </c>
      <c r="M107">
        <v>250</v>
      </c>
      <c r="O107">
        <v>41.132370714251699</v>
      </c>
      <c r="P107">
        <v>0.75974225391208605</v>
      </c>
      <c r="Q107">
        <v>1.5</v>
      </c>
      <c r="R107">
        <v>-1.2983262818894199</v>
      </c>
      <c r="S107" t="s">
        <v>1433</v>
      </c>
      <c r="T107" t="s">
        <v>2650</v>
      </c>
      <c r="U107" t="s">
        <v>2650</v>
      </c>
      <c r="V107" t="s">
        <v>2650</v>
      </c>
      <c r="W107" t="s">
        <v>2757</v>
      </c>
      <c r="X107">
        <v>1</v>
      </c>
      <c r="Y107" t="s">
        <v>4077</v>
      </c>
      <c r="Z107" t="s">
        <v>5387</v>
      </c>
      <c r="AA107">
        <v>1.4810450508002271</v>
      </c>
      <c r="AB107" t="str">
        <f>HYPERLINK("Melting_Curves/meltCurve_O75382_4_TRIM3.pdf", "Melting_Curves/meltCurve_O75382_4_TRIM3.pdf")</f>
        <v>Melting_Curves/meltCurve_O75382_4_TRIM3.pdf</v>
      </c>
    </row>
    <row r="108" spans="1:28" x14ac:dyDescent="0.25">
      <c r="A108" t="s">
        <v>112</v>
      </c>
      <c r="B108">
        <v>1</v>
      </c>
      <c r="C108">
        <v>0.93566740327847198</v>
      </c>
      <c r="D108">
        <v>1.3367855140341001</v>
      </c>
      <c r="E108">
        <v>1.93673933836868</v>
      </c>
      <c r="F108">
        <v>2.0985190804446101</v>
      </c>
      <c r="G108">
        <v>2.82397176687885</v>
      </c>
      <c r="H108">
        <v>2.5119561990830799</v>
      </c>
      <c r="I108">
        <v>3.06408522708533</v>
      </c>
      <c r="J108">
        <v>2.3579273722748102</v>
      </c>
      <c r="K108">
        <v>3.1247732445001501</v>
      </c>
      <c r="L108">
        <v>11466.6783516259</v>
      </c>
      <c r="M108">
        <v>250</v>
      </c>
      <c r="O108">
        <v>45.863778610501399</v>
      </c>
      <c r="P108">
        <v>0.68136558380211198</v>
      </c>
      <c r="Q108">
        <v>1.5</v>
      </c>
      <c r="R108">
        <v>-0.54831032120038303</v>
      </c>
      <c r="S108" t="s">
        <v>1434</v>
      </c>
      <c r="T108" t="s">
        <v>2650</v>
      </c>
      <c r="U108" t="s">
        <v>2650</v>
      </c>
      <c r="V108" t="s">
        <v>2650</v>
      </c>
      <c r="W108" t="s">
        <v>2758</v>
      </c>
      <c r="X108">
        <v>1</v>
      </c>
      <c r="Y108" t="s">
        <v>4078</v>
      </c>
      <c r="Z108" t="s">
        <v>5388</v>
      </c>
      <c r="AA108">
        <v>1.4021811955408481</v>
      </c>
      <c r="AB108" t="str">
        <f>HYPERLINK("Melting_Curves/meltCurve_O75436_2_VPS26A.pdf", "Melting_Curves/meltCurve_O75436_2_VPS26A.pdf")</f>
        <v>Melting_Curves/meltCurve_O75436_2_VPS26A.pdf</v>
      </c>
    </row>
    <row r="109" spans="1:28" x14ac:dyDescent="0.25">
      <c r="A109" t="s">
        <v>113</v>
      </c>
      <c r="B109">
        <v>1</v>
      </c>
      <c r="C109">
        <v>0.78775850735703101</v>
      </c>
      <c r="D109">
        <v>1.18594832381049</v>
      </c>
      <c r="E109">
        <v>2.0262678869393702</v>
      </c>
      <c r="F109">
        <v>1.69970167366132</v>
      </c>
      <c r="G109">
        <v>1.71990190625474</v>
      </c>
      <c r="H109">
        <v>1.45623704302978</v>
      </c>
      <c r="I109">
        <v>1.5439146483288699</v>
      </c>
      <c r="J109">
        <v>0.93358446680487395</v>
      </c>
      <c r="K109">
        <v>1.32848763715427</v>
      </c>
      <c r="L109">
        <v>11524.1080824448</v>
      </c>
      <c r="M109">
        <v>250</v>
      </c>
      <c r="O109">
        <v>46.0934823682352</v>
      </c>
      <c r="P109">
        <v>0.677970037545501</v>
      </c>
      <c r="Q109">
        <v>1.5</v>
      </c>
      <c r="R109">
        <v>0.45460959562961401</v>
      </c>
      <c r="S109" t="s">
        <v>1435</v>
      </c>
      <c r="T109" t="s">
        <v>2650</v>
      </c>
      <c r="U109" t="s">
        <v>2650</v>
      </c>
      <c r="V109" t="s">
        <v>2650</v>
      </c>
      <c r="W109" t="s">
        <v>2759</v>
      </c>
      <c r="X109">
        <v>4</v>
      </c>
      <c r="Y109" t="s">
        <v>4079</v>
      </c>
      <c r="Z109" t="s">
        <v>5389</v>
      </c>
      <c r="AA109">
        <v>1.39835234524302</v>
      </c>
      <c r="AB109" t="str">
        <f>HYPERLINK("Melting_Curves/meltCurve_O75487_GPC4.pdf", "Melting_Curves/meltCurve_O75487_GPC4.pdf")</f>
        <v>Melting_Curves/meltCurve_O75487_GPC4.pdf</v>
      </c>
    </row>
    <row r="110" spans="1:28" x14ac:dyDescent="0.25">
      <c r="A110" t="s">
        <v>114</v>
      </c>
      <c r="B110">
        <v>1</v>
      </c>
      <c r="C110">
        <v>0.82049843737479</v>
      </c>
      <c r="D110">
        <v>1.20522477762641</v>
      </c>
      <c r="E110">
        <v>1.5959612148409299</v>
      </c>
      <c r="F110">
        <v>1.6402756631140301</v>
      </c>
      <c r="G110">
        <v>2.3264684670246001</v>
      </c>
      <c r="H110">
        <v>2.4529209071239699</v>
      </c>
      <c r="I110">
        <v>3.0298100809359698</v>
      </c>
      <c r="J110">
        <v>2.1816651975318502</v>
      </c>
      <c r="K110">
        <v>2.8793172529850102</v>
      </c>
      <c r="L110">
        <v>11516.656936171101</v>
      </c>
      <c r="M110">
        <v>250</v>
      </c>
      <c r="O110">
        <v>46.063663908283701</v>
      </c>
      <c r="P110">
        <v>0.67840867520094605</v>
      </c>
      <c r="Q110">
        <v>1.5</v>
      </c>
      <c r="R110">
        <v>-0.173671572863939</v>
      </c>
      <c r="S110" t="s">
        <v>1436</v>
      </c>
      <c r="T110" t="s">
        <v>2650</v>
      </c>
      <c r="U110" t="s">
        <v>2650</v>
      </c>
      <c r="V110" t="s">
        <v>2650</v>
      </c>
      <c r="W110" t="s">
        <v>2760</v>
      </c>
      <c r="X110">
        <v>8</v>
      </c>
      <c r="Y110" t="s">
        <v>4080</v>
      </c>
      <c r="Z110" t="s">
        <v>5390</v>
      </c>
      <c r="AA110">
        <v>1.398849114481225</v>
      </c>
      <c r="AB110" t="str">
        <f>HYPERLINK("Melting_Curves/meltCurve_O75503_CLN5.pdf", "Melting_Curves/meltCurve_O75503_CLN5.pdf")</f>
        <v>Melting_Curves/meltCurve_O75503_CLN5.pdf</v>
      </c>
    </row>
    <row r="111" spans="1:28" x14ac:dyDescent="0.25">
      <c r="A111" t="s">
        <v>115</v>
      </c>
      <c r="B111">
        <v>1</v>
      </c>
      <c r="C111">
        <v>1.2169334179931299</v>
      </c>
      <c r="D111">
        <v>1.6018216451733001</v>
      </c>
      <c r="E111">
        <v>2.0771352878067999</v>
      </c>
      <c r="F111">
        <v>2.2210058459045801</v>
      </c>
      <c r="G111">
        <v>1.7981520810982401</v>
      </c>
      <c r="H111">
        <v>1.5568059904100899</v>
      </c>
      <c r="I111">
        <v>2.2702690867689901</v>
      </c>
      <c r="J111">
        <v>1.3494843780789501</v>
      </c>
      <c r="K111">
        <v>1.76430276093097</v>
      </c>
      <c r="L111">
        <v>10736.4153259593</v>
      </c>
      <c r="M111">
        <v>250</v>
      </c>
      <c r="O111">
        <v>42.942913048399902</v>
      </c>
      <c r="P111">
        <v>0.72771029735066795</v>
      </c>
      <c r="Q111">
        <v>1.5</v>
      </c>
      <c r="R111">
        <v>-8.7979473214765402E-3</v>
      </c>
      <c r="S111" t="s">
        <v>1437</v>
      </c>
      <c r="T111" t="s">
        <v>2650</v>
      </c>
      <c r="U111" t="s">
        <v>2650</v>
      </c>
      <c r="V111" t="s">
        <v>2650</v>
      </c>
      <c r="W111" t="s">
        <v>2761</v>
      </c>
      <c r="X111">
        <v>2</v>
      </c>
      <c r="Y111" t="s">
        <v>4081</v>
      </c>
      <c r="Z111" t="s">
        <v>5391</v>
      </c>
      <c r="AA111">
        <v>1.4508679604275341</v>
      </c>
      <c r="AB111" t="str">
        <f>HYPERLINK("Melting_Curves/meltCurve_O75594_PGLYRP1.pdf", "Melting_Curves/meltCurve_O75594_PGLYRP1.pdf")</f>
        <v>Melting_Curves/meltCurve_O75594_PGLYRP1.pdf</v>
      </c>
    </row>
    <row r="112" spans="1:28" x14ac:dyDescent="0.25">
      <c r="A112" t="s">
        <v>116</v>
      </c>
      <c r="B112">
        <v>1</v>
      </c>
      <c r="C112">
        <v>0.83796313063634098</v>
      </c>
      <c r="D112">
        <v>1.21668900076057</v>
      </c>
      <c r="E112">
        <v>1.3389410017746599</v>
      </c>
      <c r="F112">
        <v>1.2209988772590601</v>
      </c>
      <c r="G112">
        <v>1.2556770852196599</v>
      </c>
      <c r="H112">
        <v>1.0855093984281601</v>
      </c>
      <c r="I112">
        <v>1.3578827278982999</v>
      </c>
      <c r="J112">
        <v>0.92050269819999297</v>
      </c>
      <c r="K112">
        <v>1.1235739379232901</v>
      </c>
      <c r="L112">
        <v>11140.4778804447</v>
      </c>
      <c r="M112">
        <v>250</v>
      </c>
      <c r="O112">
        <v>44.559059962571098</v>
      </c>
      <c r="P112">
        <v>0.26647050838958303</v>
      </c>
      <c r="Q112">
        <v>1.18997880510417</v>
      </c>
      <c r="R112">
        <v>0.37957917777848599</v>
      </c>
      <c r="S112" t="s">
        <v>1438</v>
      </c>
      <c r="T112" t="s">
        <v>2650</v>
      </c>
      <c r="U112" t="s">
        <v>2650</v>
      </c>
      <c r="V112" t="s">
        <v>2650</v>
      </c>
      <c r="W112" t="s">
        <v>2762</v>
      </c>
      <c r="X112">
        <v>3</v>
      </c>
      <c r="Y112" t="s">
        <v>4082</v>
      </c>
      <c r="Z112" t="s">
        <v>5392</v>
      </c>
      <c r="AA112">
        <v>1.1610750643941521</v>
      </c>
      <c r="AB112" t="str">
        <f>HYPERLINK("Melting_Curves/meltCurve_O75629_CREG1.pdf", "Melting_Curves/meltCurve_O75629_CREG1.pdf")</f>
        <v>Melting_Curves/meltCurve_O75629_CREG1.pdf</v>
      </c>
    </row>
    <row r="113" spans="1:28" x14ac:dyDescent="0.25">
      <c r="A113" t="s">
        <v>117</v>
      </c>
      <c r="B113">
        <v>1</v>
      </c>
      <c r="C113">
        <v>0.86301369863013699</v>
      </c>
      <c r="D113">
        <v>1.1516220844131799</v>
      </c>
      <c r="E113">
        <v>1.3953165494261399</v>
      </c>
      <c r="F113">
        <v>1.00444279896335</v>
      </c>
      <c r="G113">
        <v>0.98379072565716397</v>
      </c>
      <c r="H113">
        <v>0.86488800444279901</v>
      </c>
      <c r="I113">
        <v>1.2508098852276901</v>
      </c>
      <c r="J113">
        <v>0.69880368382080704</v>
      </c>
      <c r="K113">
        <v>0.96431877082562001</v>
      </c>
      <c r="L113">
        <v>2755.5234356699102</v>
      </c>
      <c r="M113">
        <v>41.677461580007197</v>
      </c>
      <c r="O113">
        <v>65.963769404268007</v>
      </c>
      <c r="P113">
        <v>-2.1937554359123201E-2</v>
      </c>
      <c r="Q113">
        <v>0.86111619447358201</v>
      </c>
      <c r="R113">
        <v>5.83605005475741E-2</v>
      </c>
      <c r="S113" t="s">
        <v>1439</v>
      </c>
      <c r="T113" t="s">
        <v>2650</v>
      </c>
      <c r="U113" t="s">
        <v>2650</v>
      </c>
      <c r="V113" t="s">
        <v>2650</v>
      </c>
      <c r="W113" t="s">
        <v>2763</v>
      </c>
      <c r="X113">
        <v>3</v>
      </c>
      <c r="Y113" t="s">
        <v>4083</v>
      </c>
      <c r="Z113" t="s">
        <v>5393</v>
      </c>
      <c r="AA113">
        <v>0.98178007292430425</v>
      </c>
      <c r="AB113" t="str">
        <f>HYPERLINK("Melting_Curves/meltCurve_O75718_CRTAP.pdf", "Melting_Curves/meltCurve_O75718_CRTAP.pdf")</f>
        <v>Melting_Curves/meltCurve_O75718_CRTAP.pdf</v>
      </c>
    </row>
    <row r="114" spans="1:28" x14ac:dyDescent="0.25">
      <c r="A114" t="s">
        <v>118</v>
      </c>
      <c r="B114">
        <v>1</v>
      </c>
      <c r="C114">
        <v>1.0682771849898101</v>
      </c>
      <c r="D114">
        <v>1.7747272509291501</v>
      </c>
      <c r="E114">
        <v>2.2161611317587799</v>
      </c>
      <c r="F114">
        <v>1.63703392878552</v>
      </c>
      <c r="G114">
        <v>1.77766454861527</v>
      </c>
      <c r="H114">
        <v>1.6860688166886499</v>
      </c>
      <c r="I114">
        <v>1.7646565160052801</v>
      </c>
      <c r="J114">
        <v>1.28335930943532</v>
      </c>
      <c r="K114">
        <v>1.81878671622108</v>
      </c>
      <c r="L114">
        <v>10804.116101092301</v>
      </c>
      <c r="M114">
        <v>250</v>
      </c>
      <c r="O114">
        <v>43.2136988490346</v>
      </c>
      <c r="P114">
        <v>0.72315031754835002</v>
      </c>
      <c r="Q114">
        <v>1.5</v>
      </c>
      <c r="R114">
        <v>0.26092637748772501</v>
      </c>
      <c r="S114" t="s">
        <v>1440</v>
      </c>
      <c r="T114" t="s">
        <v>2650</v>
      </c>
      <c r="U114" t="s">
        <v>2650</v>
      </c>
      <c r="V114" t="s">
        <v>2650</v>
      </c>
      <c r="W114" t="s">
        <v>2764</v>
      </c>
      <c r="X114">
        <v>2</v>
      </c>
      <c r="Y114" t="s">
        <v>4084</v>
      </c>
      <c r="Z114" t="s">
        <v>5394</v>
      </c>
      <c r="AA114">
        <v>1.446354337811407</v>
      </c>
      <c r="AB114" t="str">
        <f>HYPERLINK("Melting_Curves/meltCurve_O75752_B3GALNT1.pdf", "Melting_Curves/meltCurve_O75752_B3GALNT1.pdf")</f>
        <v>Melting_Curves/meltCurve_O75752_B3GALNT1.pdf</v>
      </c>
    </row>
    <row r="115" spans="1:28" x14ac:dyDescent="0.25">
      <c r="A115" t="s">
        <v>119</v>
      </c>
      <c r="B115">
        <v>1</v>
      </c>
      <c r="C115">
        <v>0.80438258809594299</v>
      </c>
      <c r="D115">
        <v>1.1588244003553401</v>
      </c>
      <c r="E115">
        <v>1.43979863784424</v>
      </c>
      <c r="F115">
        <v>1.18796268877702</v>
      </c>
      <c r="G115">
        <v>1.4305448623038199</v>
      </c>
      <c r="H115">
        <v>1.2382440035534501</v>
      </c>
      <c r="I115">
        <v>1.3797305300562599</v>
      </c>
      <c r="J115">
        <v>0.86165235416049701</v>
      </c>
      <c r="K115">
        <v>1.0215279834172299</v>
      </c>
      <c r="L115">
        <v>11458.1580844197</v>
      </c>
      <c r="M115">
        <v>250</v>
      </c>
      <c r="O115">
        <v>45.829699309143002</v>
      </c>
      <c r="P115">
        <v>0.30381520841910398</v>
      </c>
      <c r="Q115">
        <v>1.2227801543113599</v>
      </c>
      <c r="R115">
        <v>0.30191773935879501</v>
      </c>
      <c r="S115" t="s">
        <v>1441</v>
      </c>
      <c r="T115" t="s">
        <v>2650</v>
      </c>
      <c r="U115" t="s">
        <v>2650</v>
      </c>
      <c r="V115" t="s">
        <v>2650</v>
      </c>
      <c r="W115" t="s">
        <v>2765</v>
      </c>
      <c r="X115">
        <v>3</v>
      </c>
      <c r="Y115" t="s">
        <v>4085</v>
      </c>
      <c r="Z115" t="s">
        <v>5395</v>
      </c>
      <c r="AA115">
        <v>1.179449077124701</v>
      </c>
      <c r="AB115" t="str">
        <f>HYPERLINK("Melting_Curves/meltCurve_O75787_2_ATP6AP2.pdf", "Melting_Curves/meltCurve_O75787_2_ATP6AP2.pdf")</f>
        <v>Melting_Curves/meltCurve_O75787_2_ATP6AP2.pdf</v>
      </c>
    </row>
    <row r="116" spans="1:28" x14ac:dyDescent="0.25">
      <c r="A116" t="s">
        <v>120</v>
      </c>
      <c r="B116">
        <v>1</v>
      </c>
      <c r="C116">
        <v>0.74765945276003398</v>
      </c>
      <c r="D116">
        <v>0.970159214415102</v>
      </c>
      <c r="E116">
        <v>1.2052626561159301</v>
      </c>
      <c r="F116">
        <v>1.1688435503861201</v>
      </c>
      <c r="G116">
        <v>1.00181142148918</v>
      </c>
      <c r="H116">
        <v>0.96119744494232096</v>
      </c>
      <c r="I116">
        <v>1.18695776527791</v>
      </c>
      <c r="J116">
        <v>0.84219658690056198</v>
      </c>
      <c r="K116">
        <v>1.0322242349127699</v>
      </c>
      <c r="L116">
        <v>1245.45769968388</v>
      </c>
      <c r="M116">
        <v>12.777653990932199</v>
      </c>
      <c r="Q116">
        <v>0.38049419314739902</v>
      </c>
      <c r="R116">
        <v>-6.75808903103081E-3</v>
      </c>
      <c r="S116" t="s">
        <v>1442</v>
      </c>
      <c r="T116" t="s">
        <v>2650</v>
      </c>
      <c r="U116" t="s">
        <v>2650</v>
      </c>
      <c r="V116" t="s">
        <v>2650</v>
      </c>
      <c r="W116" t="s">
        <v>2766</v>
      </c>
      <c r="X116">
        <v>2</v>
      </c>
      <c r="Y116" t="s">
        <v>4086</v>
      </c>
      <c r="Z116" t="s">
        <v>5396</v>
      </c>
      <c r="AA116">
        <v>0.99951443503304416</v>
      </c>
      <c r="AB116" t="str">
        <f>HYPERLINK("Melting_Curves/meltCurve_O75821_EIF3G.pdf", "Melting_Curves/meltCurve_O75821_EIF3G.pdf")</f>
        <v>Melting_Curves/meltCurve_O75821_EIF3G.pdf</v>
      </c>
    </row>
    <row r="117" spans="1:28" x14ac:dyDescent="0.25">
      <c r="A117" t="s">
        <v>121</v>
      </c>
      <c r="B117">
        <v>1</v>
      </c>
      <c r="C117">
        <v>0.83440091699817998</v>
      </c>
      <c r="D117">
        <v>1.12082799541501</v>
      </c>
      <c r="E117">
        <v>1.23356483042276</v>
      </c>
      <c r="F117">
        <v>1.0565369833456899</v>
      </c>
      <c r="G117">
        <v>0.82044366529566404</v>
      </c>
      <c r="H117">
        <v>0.99878632593891203</v>
      </c>
      <c r="I117">
        <v>1.0821252781336399</v>
      </c>
      <c r="J117">
        <v>0.67345425123053104</v>
      </c>
      <c r="K117">
        <v>0.95441979637246299</v>
      </c>
      <c r="L117">
        <v>15000</v>
      </c>
      <c r="M117">
        <v>229.394764249324</v>
      </c>
      <c r="O117">
        <v>65.384496996922394</v>
      </c>
      <c r="P117">
        <v>-0.163024339739201</v>
      </c>
      <c r="Q117">
        <v>0.81413240155543798</v>
      </c>
      <c r="R117">
        <v>0.26295355530390602</v>
      </c>
      <c r="S117" t="s">
        <v>1443</v>
      </c>
      <c r="T117" t="s">
        <v>2650</v>
      </c>
      <c r="U117" t="s">
        <v>2650</v>
      </c>
      <c r="V117" t="s">
        <v>2650</v>
      </c>
      <c r="W117" t="s">
        <v>2767</v>
      </c>
      <c r="X117">
        <v>1</v>
      </c>
      <c r="Y117" t="s">
        <v>4087</v>
      </c>
      <c r="Z117" t="s">
        <v>5397</v>
      </c>
      <c r="AA117">
        <v>0.97146034068120857</v>
      </c>
      <c r="AB117" t="str">
        <f>HYPERLINK("Melting_Curves/meltCurve_O75822_2_EIF3J.pdf", "Melting_Curves/meltCurve_O75822_2_EIF3J.pdf")</f>
        <v>Melting_Curves/meltCurve_O75822_2_EIF3J.pdf</v>
      </c>
    </row>
    <row r="118" spans="1:28" x14ac:dyDescent="0.25">
      <c r="A118" t="s">
        <v>122</v>
      </c>
      <c r="B118">
        <v>1</v>
      </c>
      <c r="C118">
        <v>0.72488143158901597</v>
      </c>
      <c r="D118">
        <v>1.14347774102268</v>
      </c>
      <c r="E118">
        <v>1.4313100314853899</v>
      </c>
      <c r="F118">
        <v>1.2194412339085701</v>
      </c>
      <c r="G118">
        <v>2.0772787055119402</v>
      </c>
      <c r="H118">
        <v>2.5647443306364801</v>
      </c>
      <c r="I118">
        <v>3.8254752700171402</v>
      </c>
      <c r="J118">
        <v>2.7921565501574301</v>
      </c>
      <c r="K118">
        <v>3.8202941293691</v>
      </c>
      <c r="L118">
        <v>1758.93352898034</v>
      </c>
      <c r="M118">
        <v>36.825435877484502</v>
      </c>
      <c r="O118">
        <v>47.623915301871001</v>
      </c>
      <c r="P118">
        <v>9.6657206350466193E-2</v>
      </c>
      <c r="Q118">
        <v>1.5</v>
      </c>
      <c r="R118">
        <v>-0.188071295668816</v>
      </c>
      <c r="S118" t="s">
        <v>1444</v>
      </c>
      <c r="T118" t="s">
        <v>2650</v>
      </c>
      <c r="U118" t="s">
        <v>2650</v>
      </c>
      <c r="V118" t="s">
        <v>2650</v>
      </c>
      <c r="W118" t="s">
        <v>2768</v>
      </c>
      <c r="X118">
        <v>12</v>
      </c>
      <c r="Y118" t="s">
        <v>4088</v>
      </c>
      <c r="Z118" t="s">
        <v>5398</v>
      </c>
      <c r="AA118">
        <v>1.368636090656878</v>
      </c>
      <c r="AB118" t="str">
        <f>HYPERLINK("Melting_Curves/meltCurve_O75874_IDH1.pdf", "Melting_Curves/meltCurve_O75874_IDH1.pdf")</f>
        <v>Melting_Curves/meltCurve_O75874_IDH1.pdf</v>
      </c>
    </row>
    <row r="119" spans="1:28" x14ac:dyDescent="0.25">
      <c r="A119" t="s">
        <v>123</v>
      </c>
      <c r="B119">
        <v>1</v>
      </c>
      <c r="C119">
        <v>0.78880437366294298</v>
      </c>
      <c r="D119">
        <v>1.20442120275731</v>
      </c>
      <c r="E119">
        <v>1.5148561920608501</v>
      </c>
      <c r="F119">
        <v>1.0124792013311099</v>
      </c>
      <c r="G119">
        <v>1.1678749702876201</v>
      </c>
      <c r="H119">
        <v>0.96339434276206304</v>
      </c>
      <c r="I119">
        <v>1.1640717851200399</v>
      </c>
      <c r="J119">
        <v>0.66603280247206997</v>
      </c>
      <c r="K119">
        <v>1.0522343712859501</v>
      </c>
      <c r="L119">
        <v>2431.7314334534699</v>
      </c>
      <c r="M119">
        <v>37.273873033652698</v>
      </c>
      <c r="O119">
        <v>65.052639970006197</v>
      </c>
      <c r="P119">
        <v>-1.3622841976186E-2</v>
      </c>
      <c r="Q119">
        <v>0.90489860134720101</v>
      </c>
      <c r="R119">
        <v>-3.0337210864882499E-2</v>
      </c>
      <c r="S119" t="s">
        <v>1445</v>
      </c>
      <c r="T119" t="s">
        <v>2650</v>
      </c>
      <c r="U119" t="s">
        <v>2650</v>
      </c>
      <c r="V119" t="s">
        <v>2650</v>
      </c>
      <c r="W119" t="s">
        <v>2769</v>
      </c>
      <c r="X119">
        <v>9</v>
      </c>
      <c r="Y119" t="s">
        <v>4089</v>
      </c>
      <c r="Z119" t="s">
        <v>5399</v>
      </c>
      <c r="AA119">
        <v>0.98488518210845444</v>
      </c>
      <c r="AB119" t="str">
        <f>HYPERLINK("Melting_Curves/meltCurve_O75882_3_ATRN.pdf", "Melting_Curves/meltCurve_O75882_3_ATRN.pdf")</f>
        <v>Melting_Curves/meltCurve_O75882_3_ATRN.pdf</v>
      </c>
    </row>
    <row r="120" spans="1:28" x14ac:dyDescent="0.25">
      <c r="A120" t="s">
        <v>124</v>
      </c>
      <c r="B120">
        <v>1</v>
      </c>
      <c r="C120">
        <v>0.821702274078013</v>
      </c>
      <c r="D120">
        <v>1.11800494228784</v>
      </c>
      <c r="E120">
        <v>1.35769026244174</v>
      </c>
      <c r="F120">
        <v>1.20713816509744</v>
      </c>
      <c r="G120">
        <v>1.1520379117269901</v>
      </c>
      <c r="H120">
        <v>1.1310644687040601</v>
      </c>
      <c r="I120">
        <v>1.4283524664518801</v>
      </c>
      <c r="J120">
        <v>0.97719665926366195</v>
      </c>
      <c r="K120">
        <v>1.2495855359879899</v>
      </c>
      <c r="L120">
        <v>11490.8497012402</v>
      </c>
      <c r="M120">
        <v>250</v>
      </c>
      <c r="O120">
        <v>45.9604576144378</v>
      </c>
      <c r="P120">
        <v>0.29199508004202401</v>
      </c>
      <c r="Q120">
        <v>1.21472363898922</v>
      </c>
      <c r="R120">
        <v>0.43563049962288303</v>
      </c>
      <c r="S120" t="s">
        <v>1446</v>
      </c>
      <c r="T120" t="s">
        <v>2650</v>
      </c>
      <c r="U120" t="s">
        <v>2650</v>
      </c>
      <c r="V120" t="s">
        <v>2650</v>
      </c>
      <c r="W120" t="s">
        <v>2770</v>
      </c>
      <c r="X120">
        <v>6</v>
      </c>
      <c r="Y120" t="s">
        <v>4090</v>
      </c>
      <c r="Z120" t="s">
        <v>5400</v>
      </c>
      <c r="AA120">
        <v>1.1720235618914021</v>
      </c>
      <c r="AB120" t="str">
        <f>HYPERLINK("Melting_Curves/meltCurve_O75976_CPD.pdf", "Melting_Curves/meltCurve_O75976_CPD.pdf")</f>
        <v>Melting_Curves/meltCurve_O75976_CPD.pdf</v>
      </c>
    </row>
    <row r="121" spans="1:28" x14ac:dyDescent="0.25">
      <c r="A121" t="s">
        <v>125</v>
      </c>
      <c r="B121">
        <v>1</v>
      </c>
      <c r="C121">
        <v>0.67763948542705199</v>
      </c>
      <c r="D121">
        <v>1.0226876090750401</v>
      </c>
      <c r="E121">
        <v>1.36449613861283</v>
      </c>
      <c r="F121">
        <v>1.1055376158677399</v>
      </c>
      <c r="G121">
        <v>1.10929972515702</v>
      </c>
      <c r="H121">
        <v>0.94564797107356002</v>
      </c>
      <c r="I121">
        <v>1.2011578936368099</v>
      </c>
      <c r="J121">
        <v>0.64824278145280101</v>
      </c>
      <c r="K121">
        <v>0.99041707161592996</v>
      </c>
      <c r="L121">
        <v>2763.1659810526598</v>
      </c>
      <c r="M121">
        <v>42.105054982881697</v>
      </c>
      <c r="O121">
        <v>65.478002210907604</v>
      </c>
      <c r="P121">
        <v>-2.31584562598251E-2</v>
      </c>
      <c r="Q121">
        <v>0.85594443385402397</v>
      </c>
      <c r="R121">
        <v>6.9012623790491903E-2</v>
      </c>
      <c r="S121" t="s">
        <v>1447</v>
      </c>
      <c r="T121" t="s">
        <v>2650</v>
      </c>
      <c r="U121" t="s">
        <v>2650</v>
      </c>
      <c r="V121" t="s">
        <v>2650</v>
      </c>
      <c r="W121" t="s">
        <v>2771</v>
      </c>
      <c r="X121">
        <v>3</v>
      </c>
      <c r="Y121" t="s">
        <v>4091</v>
      </c>
      <c r="Z121" t="s">
        <v>5401</v>
      </c>
      <c r="AA121">
        <v>0.97895872846625642</v>
      </c>
      <c r="AB121" t="str">
        <f>HYPERLINK("Melting_Curves/meltCurve_O76076_WISP2.pdf", "Melting_Curves/meltCurve_O76076_WISP2.pdf")</f>
        <v>Melting_Curves/meltCurve_O76076_WISP2.pdf</v>
      </c>
    </row>
    <row r="122" spans="1:28" x14ac:dyDescent="0.25">
      <c r="A122" t="s">
        <v>126</v>
      </c>
      <c r="B122">
        <v>1</v>
      </c>
      <c r="C122">
        <v>0.80561333888053299</v>
      </c>
      <c r="D122">
        <v>1.07911159471309</v>
      </c>
      <c r="E122">
        <v>1.25820078727558</v>
      </c>
      <c r="F122">
        <v>0.97913399686369895</v>
      </c>
      <c r="G122">
        <v>1.0536051460940301</v>
      </c>
      <c r="H122">
        <v>0.93820206739847001</v>
      </c>
      <c r="I122">
        <v>1.1456139789419799</v>
      </c>
      <c r="J122">
        <v>0.71949307133484797</v>
      </c>
      <c r="K122">
        <v>0.94601081703843604</v>
      </c>
      <c r="L122">
        <v>4142.99397349625</v>
      </c>
      <c r="M122">
        <v>63.160190302462098</v>
      </c>
      <c r="O122">
        <v>65.529335268419004</v>
      </c>
      <c r="P122">
        <v>-3.7242246493763398E-2</v>
      </c>
      <c r="Q122">
        <v>0.84544317143902303</v>
      </c>
      <c r="R122">
        <v>0.173216381591597</v>
      </c>
      <c r="S122" t="s">
        <v>1448</v>
      </c>
      <c r="T122" t="s">
        <v>2650</v>
      </c>
      <c r="U122" t="s">
        <v>2650</v>
      </c>
      <c r="V122" t="s">
        <v>2650</v>
      </c>
      <c r="W122" t="s">
        <v>2772</v>
      </c>
      <c r="X122">
        <v>7</v>
      </c>
      <c r="Y122" t="s">
        <v>4092</v>
      </c>
      <c r="Z122" t="s">
        <v>5402</v>
      </c>
      <c r="AA122">
        <v>0.97746820367005094</v>
      </c>
      <c r="AB122" t="str">
        <f>HYPERLINK("Melting_Curves/meltCurve_O94760_DDAH1.pdf", "Melting_Curves/meltCurve_O94760_DDAH1.pdf")</f>
        <v>Melting_Curves/meltCurve_O94760_DDAH1.pdf</v>
      </c>
    </row>
    <row r="123" spans="1:28" x14ac:dyDescent="0.25">
      <c r="A123" t="s">
        <v>127</v>
      </c>
      <c r="B123">
        <v>1</v>
      </c>
      <c r="C123">
        <v>0.80901694500520005</v>
      </c>
      <c r="D123">
        <v>1.24126751085826</v>
      </c>
      <c r="E123">
        <v>1.46984156114272</v>
      </c>
      <c r="F123">
        <v>1.40583899186395</v>
      </c>
      <c r="G123">
        <v>1.56374258273689</v>
      </c>
      <c r="H123">
        <v>1.5608368507983099</v>
      </c>
      <c r="I123">
        <v>2.1918394812503799</v>
      </c>
      <c r="J123">
        <v>1.8619624395913601</v>
      </c>
      <c r="K123">
        <v>2.3114332905120198</v>
      </c>
      <c r="L123">
        <v>11503.214868037399</v>
      </c>
      <c r="M123">
        <v>250</v>
      </c>
      <c r="O123">
        <v>46.0099148480233</v>
      </c>
      <c r="P123">
        <v>0.67920143011867296</v>
      </c>
      <c r="Q123">
        <v>1.5</v>
      </c>
      <c r="R123">
        <v>0.35905634428538302</v>
      </c>
      <c r="S123" t="s">
        <v>1449</v>
      </c>
      <c r="T123" t="s">
        <v>2650</v>
      </c>
      <c r="U123" t="s">
        <v>2650</v>
      </c>
      <c r="V123" t="s">
        <v>2650</v>
      </c>
      <c r="W123" t="s">
        <v>2773</v>
      </c>
      <c r="X123">
        <v>2</v>
      </c>
      <c r="Y123" t="s">
        <v>4093</v>
      </c>
      <c r="Z123" t="s">
        <v>5403</v>
      </c>
      <c r="AA123">
        <v>1.3997452995380459</v>
      </c>
      <c r="AB123" t="str">
        <f>HYPERLINK("Melting_Curves/meltCurve_O94766_2_B3GAT3.pdf", "Melting_Curves/meltCurve_O94766_2_B3GAT3.pdf")</f>
        <v>Melting_Curves/meltCurve_O94766_2_B3GAT3.pdf</v>
      </c>
    </row>
    <row r="124" spans="1:28" x14ac:dyDescent="0.25">
      <c r="A124" t="s">
        <v>128</v>
      </c>
      <c r="B124">
        <v>1</v>
      </c>
      <c r="C124">
        <v>0.74340357306459004</v>
      </c>
      <c r="D124">
        <v>1.2173614292258399</v>
      </c>
      <c r="E124">
        <v>1.6467017865322999</v>
      </c>
      <c r="F124">
        <v>1.6051305542831</v>
      </c>
      <c r="G124">
        <v>1.95464956481906</v>
      </c>
      <c r="H124">
        <v>1.7864177737059099</v>
      </c>
      <c r="I124">
        <v>2.2378607420980301</v>
      </c>
      <c r="J124">
        <v>1.51820888685295</v>
      </c>
      <c r="K124">
        <v>2.1179569399908398</v>
      </c>
      <c r="L124">
        <v>11512.079944625801</v>
      </c>
      <c r="M124">
        <v>250</v>
      </c>
      <c r="O124">
        <v>46.0453728211385</v>
      </c>
      <c r="P124">
        <v>0.67867839929131801</v>
      </c>
      <c r="Q124">
        <v>1.5</v>
      </c>
      <c r="R124">
        <v>0.36890394394070503</v>
      </c>
      <c r="S124" t="s">
        <v>1450</v>
      </c>
      <c r="T124" t="s">
        <v>2650</v>
      </c>
      <c r="U124" t="s">
        <v>2650</v>
      </c>
      <c r="V124" t="s">
        <v>2650</v>
      </c>
      <c r="W124" t="s">
        <v>2774</v>
      </c>
      <c r="X124">
        <v>17</v>
      </c>
      <c r="Y124" t="s">
        <v>4094</v>
      </c>
      <c r="Z124" t="s">
        <v>5404</v>
      </c>
      <c r="AA124">
        <v>1.399154263316009</v>
      </c>
      <c r="AB124" t="str">
        <f>HYPERLINK("Melting_Curves/meltCurve_O94813_3_SLIT2.pdf", "Melting_Curves/meltCurve_O94813_3_SLIT2.pdf")</f>
        <v>Melting_Curves/meltCurve_O94813_3_SLIT2.pdf</v>
      </c>
    </row>
    <row r="125" spans="1:28" x14ac:dyDescent="0.25">
      <c r="A125" t="s">
        <v>129</v>
      </c>
      <c r="B125">
        <v>1</v>
      </c>
      <c r="C125">
        <v>0.75096516188571905</v>
      </c>
      <c r="D125">
        <v>1.1366607705914</v>
      </c>
      <c r="E125">
        <v>1.26147812043375</v>
      </c>
      <c r="F125">
        <v>0.96985311082058001</v>
      </c>
      <c r="G125">
        <v>0.88887179881565803</v>
      </c>
      <c r="H125">
        <v>0.93486118588018197</v>
      </c>
      <c r="I125">
        <v>0.91055910174575105</v>
      </c>
      <c r="J125">
        <v>0.60389910020764404</v>
      </c>
      <c r="K125">
        <v>0.87695147273706098</v>
      </c>
      <c r="L125">
        <v>15000</v>
      </c>
      <c r="M125">
        <v>233.73257469931701</v>
      </c>
      <c r="O125">
        <v>64.171208779067598</v>
      </c>
      <c r="P125">
        <v>-0.23636192133428299</v>
      </c>
      <c r="Q125">
        <v>0.74042761991342299</v>
      </c>
      <c r="R125">
        <v>0.325585829396903</v>
      </c>
      <c r="S125" t="s">
        <v>1451</v>
      </c>
      <c r="T125" t="s">
        <v>2650</v>
      </c>
      <c r="U125" t="s">
        <v>2650</v>
      </c>
      <c r="V125" t="s">
        <v>2650</v>
      </c>
      <c r="W125" t="s">
        <v>2775</v>
      </c>
      <c r="X125">
        <v>2</v>
      </c>
      <c r="Y125" t="s">
        <v>4095</v>
      </c>
      <c r="Z125" t="s">
        <v>5405</v>
      </c>
      <c r="AA125">
        <v>0.94964099193920792</v>
      </c>
      <c r="AB125" t="str">
        <f>HYPERLINK("Melting_Curves/meltCurve_O94875_9_SORBS2.pdf", "Melting_Curves/meltCurve_O94875_9_SORBS2.pdf")</f>
        <v>Melting_Curves/meltCurve_O94875_9_SORBS2.pdf</v>
      </c>
    </row>
    <row r="126" spans="1:28" x14ac:dyDescent="0.25">
      <c r="A126" t="s">
        <v>130</v>
      </c>
      <c r="B126">
        <v>1</v>
      </c>
      <c r="C126">
        <v>0.731183745583039</v>
      </c>
      <c r="D126">
        <v>0.94506906521040801</v>
      </c>
      <c r="E126">
        <v>1.2291198201092199</v>
      </c>
      <c r="F126">
        <v>0.99445872149052394</v>
      </c>
      <c r="G126">
        <v>1.1385319627369099</v>
      </c>
      <c r="H126">
        <v>1.08536781239961</v>
      </c>
      <c r="I126">
        <v>1.6468840346932201</v>
      </c>
      <c r="J126">
        <v>0.97614840989399299</v>
      </c>
      <c r="K126">
        <v>1.4903629938965599</v>
      </c>
      <c r="L126">
        <v>728.84387048336305</v>
      </c>
      <c r="M126">
        <v>12.030950884248099</v>
      </c>
      <c r="O126">
        <v>58.979822594719401</v>
      </c>
      <c r="P126">
        <v>2.2202031318093701E-2</v>
      </c>
      <c r="Q126">
        <v>1.4352638172518499</v>
      </c>
      <c r="R126">
        <v>0.37217625509131202</v>
      </c>
      <c r="S126" t="s">
        <v>1452</v>
      </c>
      <c r="T126" t="s">
        <v>2650</v>
      </c>
      <c r="U126" t="s">
        <v>2650</v>
      </c>
      <c r="V126" t="s">
        <v>2650</v>
      </c>
      <c r="W126" t="s">
        <v>2776</v>
      </c>
      <c r="X126">
        <v>1</v>
      </c>
      <c r="Y126" t="s">
        <v>4096</v>
      </c>
      <c r="Z126" t="s">
        <v>5406</v>
      </c>
      <c r="AA126">
        <v>1.1371602779864869</v>
      </c>
      <c r="AB126" t="str">
        <f>HYPERLINK("Melting_Curves/meltCurve_O94903_PROSC.pdf", "Melting_Curves/meltCurve_O94903_PROSC.pdf")</f>
        <v>Melting_Curves/meltCurve_O94903_PROSC.pdf</v>
      </c>
    </row>
    <row r="127" spans="1:28" x14ac:dyDescent="0.25">
      <c r="A127" t="s">
        <v>131</v>
      </c>
      <c r="B127">
        <v>1</v>
      </c>
      <c r="C127">
        <v>0.831931791637468</v>
      </c>
      <c r="D127">
        <v>1.33960133925095</v>
      </c>
      <c r="E127">
        <v>1.5022191076851199</v>
      </c>
      <c r="F127">
        <v>1.12489293778712</v>
      </c>
      <c r="G127">
        <v>1.1656933738223201</v>
      </c>
      <c r="H127">
        <v>1.1039087440629101</v>
      </c>
      <c r="I127">
        <v>1.4182823327882901</v>
      </c>
      <c r="J127">
        <v>0.81795530639258696</v>
      </c>
      <c r="K127">
        <v>1.1150432142022899</v>
      </c>
      <c r="L127">
        <v>11104.408789949701</v>
      </c>
      <c r="M127">
        <v>250</v>
      </c>
      <c r="O127">
        <v>44.414792742491201</v>
      </c>
      <c r="P127">
        <v>0.27925357153754998</v>
      </c>
      <c r="Q127">
        <v>1.19844783173171</v>
      </c>
      <c r="R127">
        <v>0.24182518437152301</v>
      </c>
      <c r="S127" t="s">
        <v>1453</v>
      </c>
      <c r="T127" t="s">
        <v>2650</v>
      </c>
      <c r="U127" t="s">
        <v>2650</v>
      </c>
      <c r="V127" t="s">
        <v>2650</v>
      </c>
      <c r="W127" t="s">
        <v>2777</v>
      </c>
      <c r="X127">
        <v>1</v>
      </c>
      <c r="Y127" t="s">
        <v>4097</v>
      </c>
      <c r="Z127" t="s">
        <v>5407</v>
      </c>
      <c r="AA127">
        <v>1.1692100249802531</v>
      </c>
      <c r="AB127" t="str">
        <f>HYPERLINK("Melting_Curves/meltCurve_O94910_2_ADGRL1.pdf", "Melting_Curves/meltCurve_O94910_2_ADGRL1.pdf")</f>
        <v>Melting_Curves/meltCurve_O94910_2_ADGRL1.pdf</v>
      </c>
    </row>
    <row r="128" spans="1:28" x14ac:dyDescent="0.25">
      <c r="A128" t="s">
        <v>132</v>
      </c>
      <c r="B128">
        <v>1</v>
      </c>
      <c r="C128">
        <v>0.73527896995708197</v>
      </c>
      <c r="D128">
        <v>1.2255169722980901</v>
      </c>
      <c r="E128">
        <v>1.38252048380804</v>
      </c>
      <c r="F128">
        <v>1.04736636753804</v>
      </c>
      <c r="G128">
        <v>1.0528287163480301</v>
      </c>
      <c r="H128">
        <v>0.96316816230979296</v>
      </c>
      <c r="I128">
        <v>1.16301209520094</v>
      </c>
      <c r="J128">
        <v>0.67809598127194703</v>
      </c>
      <c r="K128">
        <v>1.0251268045259501</v>
      </c>
      <c r="L128">
        <v>3506.73537111728</v>
      </c>
      <c r="M128">
        <v>53.621693591166803</v>
      </c>
      <c r="O128">
        <v>65.306931271689805</v>
      </c>
      <c r="P128">
        <v>-2.32469206649039E-2</v>
      </c>
      <c r="Q128">
        <v>0.88674851928270404</v>
      </c>
      <c r="R128">
        <v>3.7387705098862703E-2</v>
      </c>
      <c r="S128" t="s">
        <v>1454</v>
      </c>
      <c r="T128" t="s">
        <v>2650</v>
      </c>
      <c r="U128" t="s">
        <v>2650</v>
      </c>
      <c r="V128" t="s">
        <v>2650</v>
      </c>
      <c r="W128" t="s">
        <v>2778</v>
      </c>
      <c r="X128">
        <v>5</v>
      </c>
      <c r="Y128" t="s">
        <v>4098</v>
      </c>
      <c r="Z128" t="s">
        <v>5408</v>
      </c>
      <c r="AA128">
        <v>0.98275033755259844</v>
      </c>
      <c r="AB128" t="str">
        <f>HYPERLINK("Melting_Curves/meltCurve_O94919_ENDOD1.pdf", "Melting_Curves/meltCurve_O94919_ENDOD1.pdf")</f>
        <v>Melting_Curves/meltCurve_O94919_ENDOD1.pdf</v>
      </c>
    </row>
    <row r="129" spans="1:28" x14ac:dyDescent="0.25">
      <c r="A129" t="s">
        <v>133</v>
      </c>
      <c r="B129">
        <v>1</v>
      </c>
      <c r="C129">
        <v>0.83553822587383397</v>
      </c>
      <c r="D129">
        <v>1.1796755326556201</v>
      </c>
      <c r="E129">
        <v>1.5801420414984</v>
      </c>
      <c r="F129">
        <v>1.5342396602144499</v>
      </c>
      <c r="G129">
        <v>1.6985795850160099</v>
      </c>
      <c r="H129">
        <v>1.5435350229772999</v>
      </c>
      <c r="I129">
        <v>1.8355730399665799</v>
      </c>
      <c r="J129">
        <v>1.3118994569001501</v>
      </c>
      <c r="K129">
        <v>1.77882606879265</v>
      </c>
      <c r="L129">
        <v>11526.5963654028</v>
      </c>
      <c r="M129">
        <v>250</v>
      </c>
      <c r="O129">
        <v>46.103435244133003</v>
      </c>
      <c r="P129">
        <v>0.67782368200040199</v>
      </c>
      <c r="Q129">
        <v>1.5</v>
      </c>
      <c r="R129">
        <v>0.70406299848326304</v>
      </c>
      <c r="S129" t="s">
        <v>1455</v>
      </c>
      <c r="T129" t="s">
        <v>2650</v>
      </c>
      <c r="U129" t="s">
        <v>2650</v>
      </c>
      <c r="V129" t="s">
        <v>2650</v>
      </c>
      <c r="W129" t="s">
        <v>2779</v>
      </c>
      <c r="X129">
        <v>1</v>
      </c>
      <c r="Y129" t="s">
        <v>4099</v>
      </c>
      <c r="Z129" t="s">
        <v>5409</v>
      </c>
      <c r="AA129">
        <v>1.398186450978691</v>
      </c>
      <c r="AB129" t="str">
        <f>HYPERLINK("Melting_Curves/meltCurve_O94979_5_SEC31A.pdf", "Melting_Curves/meltCurve_O94979_5_SEC31A.pdf")</f>
        <v>Melting_Curves/meltCurve_O94979_5_SEC31A.pdf</v>
      </c>
    </row>
    <row r="130" spans="1:28" x14ac:dyDescent="0.25">
      <c r="A130" t="s">
        <v>134</v>
      </c>
      <c r="B130">
        <v>1</v>
      </c>
      <c r="C130">
        <v>0.88958570477438204</v>
      </c>
      <c r="D130">
        <v>1.32366143338846</v>
      </c>
      <c r="E130">
        <v>1.6688430231309499</v>
      </c>
      <c r="F130">
        <v>1.4216619058869</v>
      </c>
      <c r="G130">
        <v>1.83763235325702</v>
      </c>
      <c r="H130">
        <v>1.68226627434978</v>
      </c>
      <c r="I130">
        <v>2.0422886106398099</v>
      </c>
      <c r="J130">
        <v>1.3935912029380799</v>
      </c>
      <c r="K130">
        <v>1.8901226348231399</v>
      </c>
      <c r="L130">
        <v>11472.0645646824</v>
      </c>
      <c r="M130">
        <v>250</v>
      </c>
      <c r="O130">
        <v>45.885340165994599</v>
      </c>
      <c r="P130">
        <v>0.68104567626504897</v>
      </c>
      <c r="Q130">
        <v>1.5</v>
      </c>
      <c r="R130">
        <v>0.49520565743386902</v>
      </c>
      <c r="S130" t="s">
        <v>1456</v>
      </c>
      <c r="T130" t="s">
        <v>2650</v>
      </c>
      <c r="U130" t="s">
        <v>2650</v>
      </c>
      <c r="V130" t="s">
        <v>2650</v>
      </c>
      <c r="W130" t="s">
        <v>2780</v>
      </c>
      <c r="X130">
        <v>12</v>
      </c>
      <c r="Y130" t="s">
        <v>4100</v>
      </c>
      <c r="Z130" t="s">
        <v>5410</v>
      </c>
      <c r="AA130">
        <v>1.4018220957649741</v>
      </c>
      <c r="AB130" t="str">
        <f>HYPERLINK("Melting_Curves/meltCurve_O94985_2_CLSTN1.pdf", "Melting_Curves/meltCurve_O94985_2_CLSTN1.pdf")</f>
        <v>Melting_Curves/meltCurve_O94985_2_CLSTN1.pdf</v>
      </c>
    </row>
    <row r="131" spans="1:28" x14ac:dyDescent="0.25">
      <c r="A131" t="s">
        <v>135</v>
      </c>
      <c r="B131">
        <v>1</v>
      </c>
      <c r="C131">
        <v>0.79981841611996296</v>
      </c>
      <c r="D131">
        <v>1.18902296157451</v>
      </c>
      <c r="E131">
        <v>1.42707357075914</v>
      </c>
      <c r="F131">
        <v>1.23494611059044</v>
      </c>
      <c r="G131">
        <v>1.19420688847235</v>
      </c>
      <c r="H131">
        <v>1.15255974695408</v>
      </c>
      <c r="I131">
        <v>1.3427249297094701</v>
      </c>
      <c r="J131">
        <v>0.89078608247422697</v>
      </c>
      <c r="K131">
        <v>1.1183809746954101</v>
      </c>
      <c r="L131">
        <v>11336.155279335801</v>
      </c>
      <c r="M131">
        <v>250</v>
      </c>
      <c r="O131">
        <v>45.3417195516882</v>
      </c>
      <c r="P131">
        <v>0.26794214154604801</v>
      </c>
      <c r="Q131">
        <v>1.1943833179694801</v>
      </c>
      <c r="R131">
        <v>0.351841860339278</v>
      </c>
      <c r="S131" t="s">
        <v>1457</v>
      </c>
      <c r="T131" t="s">
        <v>2650</v>
      </c>
      <c r="U131" t="s">
        <v>2650</v>
      </c>
      <c r="V131" t="s">
        <v>2650</v>
      </c>
      <c r="W131" t="s">
        <v>2781</v>
      </c>
      <c r="X131">
        <v>3</v>
      </c>
      <c r="Y131" t="s">
        <v>4101</v>
      </c>
      <c r="Z131" t="s">
        <v>5411</v>
      </c>
      <c r="AA131">
        <v>1.159737676249841</v>
      </c>
      <c r="AB131" t="str">
        <f>HYPERLINK("Melting_Curves/meltCurve_O95025_SEMA3D.pdf", "Melting_Curves/meltCurve_O95025_SEMA3D.pdf")</f>
        <v>Melting_Curves/meltCurve_O95025_SEMA3D.pdf</v>
      </c>
    </row>
    <row r="132" spans="1:28" x14ac:dyDescent="0.25">
      <c r="A132" t="s">
        <v>136</v>
      </c>
      <c r="B132">
        <v>1</v>
      </c>
      <c r="C132">
        <v>0.76610396646611001</v>
      </c>
      <c r="D132">
        <v>1.1279477601300301</v>
      </c>
      <c r="E132">
        <v>1.23957056089424</v>
      </c>
      <c r="F132">
        <v>0.85572728050414903</v>
      </c>
      <c r="G132">
        <v>0.99271436311272099</v>
      </c>
      <c r="H132">
        <v>0.87024152385297604</v>
      </c>
      <c r="I132">
        <v>1.00189626165559</v>
      </c>
      <c r="J132">
        <v>0.66082580056460105</v>
      </c>
      <c r="K132">
        <v>0.92085602669023903</v>
      </c>
      <c r="L132">
        <v>1292.28164228944</v>
      </c>
      <c r="M132">
        <v>21.0744820600769</v>
      </c>
      <c r="O132">
        <v>60.775619755848503</v>
      </c>
      <c r="P132">
        <v>-1.5771760709815799E-2</v>
      </c>
      <c r="Q132">
        <v>0.81807132205420297</v>
      </c>
      <c r="R132">
        <v>0.180396895303615</v>
      </c>
      <c r="S132" t="s">
        <v>1458</v>
      </c>
      <c r="T132" t="s">
        <v>2650</v>
      </c>
      <c r="U132" t="s">
        <v>2650</v>
      </c>
      <c r="V132" t="s">
        <v>2650</v>
      </c>
      <c r="W132" t="s">
        <v>2782</v>
      </c>
      <c r="X132">
        <v>3</v>
      </c>
      <c r="Y132" t="s">
        <v>4102</v>
      </c>
      <c r="Z132" t="s">
        <v>5412</v>
      </c>
      <c r="AA132">
        <v>0.94836345588094983</v>
      </c>
      <c r="AB132" t="str">
        <f>HYPERLINK("Melting_Curves/meltCurve_O95274_LYPD3.pdf", "Melting_Curves/meltCurve_O95274_LYPD3.pdf")</f>
        <v>Melting_Curves/meltCurve_O95274_LYPD3.pdf</v>
      </c>
    </row>
    <row r="133" spans="1:28" x14ac:dyDescent="0.25">
      <c r="A133" t="s">
        <v>137</v>
      </c>
      <c r="B133">
        <v>1</v>
      </c>
      <c r="C133">
        <v>0.94603533335170698</v>
      </c>
      <c r="D133">
        <v>1.4189289750020699</v>
      </c>
      <c r="E133">
        <v>1.71634098613676</v>
      </c>
      <c r="F133">
        <v>1.50756552655514</v>
      </c>
      <c r="G133">
        <v>1.63445690819392</v>
      </c>
      <c r="H133">
        <v>1.4564672160515899</v>
      </c>
      <c r="I133">
        <v>1.82154176887247</v>
      </c>
      <c r="J133">
        <v>1.28658049224155</v>
      </c>
      <c r="K133">
        <v>1.7115729129344299</v>
      </c>
      <c r="L133">
        <v>11424.450738027401</v>
      </c>
      <c r="M133">
        <v>250</v>
      </c>
      <c r="O133">
        <v>45.694878645491997</v>
      </c>
      <c r="P133">
        <v>0.68388408059984296</v>
      </c>
      <c r="Q133">
        <v>1.5</v>
      </c>
      <c r="R133">
        <v>0.67025176047673996</v>
      </c>
      <c r="S133" t="s">
        <v>1459</v>
      </c>
      <c r="T133" t="s">
        <v>2650</v>
      </c>
      <c r="U133" t="s">
        <v>2650</v>
      </c>
      <c r="V133" t="s">
        <v>2650</v>
      </c>
      <c r="W133" t="s">
        <v>2783</v>
      </c>
      <c r="X133">
        <v>3</v>
      </c>
      <c r="Y133" t="s">
        <v>4103</v>
      </c>
      <c r="Z133" t="s">
        <v>5413</v>
      </c>
      <c r="AA133">
        <v>1.404996517998357</v>
      </c>
      <c r="AB133" t="str">
        <f>HYPERLINK("Melting_Curves/meltCurve_O95336_PGLS.pdf", "Melting_Curves/meltCurve_O95336_PGLS.pdf")</f>
        <v>Melting_Curves/meltCurve_O95336_PGLS.pdf</v>
      </c>
    </row>
    <row r="134" spans="1:28" x14ac:dyDescent="0.25">
      <c r="A134" t="s">
        <v>138</v>
      </c>
      <c r="B134">
        <v>1</v>
      </c>
      <c r="C134">
        <v>0.80378519642556101</v>
      </c>
      <c r="D134">
        <v>1.14112291350531</v>
      </c>
      <c r="E134">
        <v>1.1897656381723101</v>
      </c>
      <c r="F134">
        <v>1.0593491822626899</v>
      </c>
      <c r="G134">
        <v>1.0045102006407001</v>
      </c>
      <c r="H134">
        <v>0.816472770190524</v>
      </c>
      <c r="I134">
        <v>1.05960209070983</v>
      </c>
      <c r="J134">
        <v>0.67134547293879598</v>
      </c>
      <c r="K134">
        <v>0.93706794806946503</v>
      </c>
      <c r="L134">
        <v>14663.5957643277</v>
      </c>
      <c r="M134">
        <v>250</v>
      </c>
      <c r="O134">
        <v>58.650640169799601</v>
      </c>
      <c r="P134">
        <v>-0.13733735818939999</v>
      </c>
      <c r="Q134">
        <v>0.871121239753887</v>
      </c>
      <c r="R134">
        <v>0.23779591958106899</v>
      </c>
      <c r="S134" t="s">
        <v>1460</v>
      </c>
      <c r="T134" t="s">
        <v>2650</v>
      </c>
      <c r="U134" t="s">
        <v>2650</v>
      </c>
      <c r="V134" t="s">
        <v>2650</v>
      </c>
      <c r="W134" t="s">
        <v>2784</v>
      </c>
      <c r="X134">
        <v>3</v>
      </c>
      <c r="Y134" t="s">
        <v>4104</v>
      </c>
      <c r="Z134" t="s">
        <v>5414</v>
      </c>
      <c r="AA134">
        <v>0.95127296493446944</v>
      </c>
      <c r="AB134" t="str">
        <f>HYPERLINK("Melting_Curves/meltCurve_O95359_3_TACC2.pdf", "Melting_Curves/meltCurve_O95359_3_TACC2.pdf")</f>
        <v>Melting_Curves/meltCurve_O95359_3_TACC2.pdf</v>
      </c>
    </row>
    <row r="135" spans="1:28" x14ac:dyDescent="0.25">
      <c r="A135" t="s">
        <v>139</v>
      </c>
      <c r="B135">
        <v>1</v>
      </c>
      <c r="C135">
        <v>0.79989859297756405</v>
      </c>
      <c r="D135">
        <v>1.0650526048928901</v>
      </c>
      <c r="E135">
        <v>1.2342502218278599</v>
      </c>
      <c r="F135">
        <v>1.2186081886170601</v>
      </c>
      <c r="G135">
        <v>1.26839903663329</v>
      </c>
      <c r="H135">
        <v>1.4101407022436301</v>
      </c>
      <c r="I135">
        <v>2.0345544428951698</v>
      </c>
      <c r="J135">
        <v>1.51542654328812</v>
      </c>
      <c r="K135">
        <v>1.9155025985549501</v>
      </c>
      <c r="L135">
        <v>1084.3035159706201</v>
      </c>
      <c r="M135">
        <v>20.607503532839001</v>
      </c>
      <c r="O135">
        <v>52.128976135522898</v>
      </c>
      <c r="P135">
        <v>4.94161432560353E-2</v>
      </c>
      <c r="Q135">
        <v>1.5</v>
      </c>
      <c r="R135">
        <v>0.59076115564338605</v>
      </c>
      <c r="S135" t="s">
        <v>1461</v>
      </c>
      <c r="T135" t="s">
        <v>2650</v>
      </c>
      <c r="U135" t="s">
        <v>2650</v>
      </c>
      <c r="V135" t="s">
        <v>2650</v>
      </c>
      <c r="W135" t="s">
        <v>2785</v>
      </c>
      <c r="X135">
        <v>4</v>
      </c>
      <c r="Y135" t="s">
        <v>4105</v>
      </c>
      <c r="Z135" t="s">
        <v>5415</v>
      </c>
      <c r="AA135">
        <v>1.2831735396666899</v>
      </c>
      <c r="AB135" t="str">
        <f>HYPERLINK("Melting_Curves/meltCurve_O95394_PGM3.pdf", "Melting_Curves/meltCurve_O95394_PGM3.pdf")</f>
        <v>Melting_Curves/meltCurve_O95394_PGM3.pdf</v>
      </c>
    </row>
    <row r="136" spans="1:28" x14ac:dyDescent="0.25">
      <c r="A136" t="s">
        <v>140</v>
      </c>
      <c r="B136">
        <v>1</v>
      </c>
      <c r="C136">
        <v>0.74472108414749405</v>
      </c>
      <c r="D136">
        <v>1.1175993876907799</v>
      </c>
      <c r="E136">
        <v>2.1546981225518902</v>
      </c>
      <c r="F136">
        <v>1.5907883481158001</v>
      </c>
      <c r="G136">
        <v>1.59443518977083</v>
      </c>
      <c r="H136">
        <v>1.62977803790914</v>
      </c>
      <c r="I136">
        <v>2.4067354013776998</v>
      </c>
      <c r="J136">
        <v>1.0197199585790799</v>
      </c>
      <c r="K136">
        <v>1.7725451352933199</v>
      </c>
      <c r="L136">
        <v>11554.242500669399</v>
      </c>
      <c r="M136">
        <v>250</v>
      </c>
      <c r="O136">
        <v>46.214015431708297</v>
      </c>
      <c r="P136">
        <v>0.67620183567785697</v>
      </c>
      <c r="Q136">
        <v>1.5</v>
      </c>
      <c r="R136">
        <v>0.35261971165300099</v>
      </c>
      <c r="S136" t="s">
        <v>1462</v>
      </c>
      <c r="T136" t="s">
        <v>2650</v>
      </c>
      <c r="U136" t="s">
        <v>2650</v>
      </c>
      <c r="V136" t="s">
        <v>2650</v>
      </c>
      <c r="W136" t="s">
        <v>2786</v>
      </c>
      <c r="X136">
        <v>2</v>
      </c>
      <c r="Y136" t="s">
        <v>4106</v>
      </c>
      <c r="Z136" t="s">
        <v>5416</v>
      </c>
      <c r="AA136">
        <v>1.396343278257177</v>
      </c>
      <c r="AB136" t="str">
        <f>HYPERLINK("Melting_Curves/meltCurve_O95460_4_MATN4.pdf", "Melting_Curves/meltCurve_O95460_4_MATN4.pdf")</f>
        <v>Melting_Curves/meltCurve_O95460_4_MATN4.pdf</v>
      </c>
    </row>
    <row r="137" spans="1:28" x14ac:dyDescent="0.25">
      <c r="A137" t="s">
        <v>141</v>
      </c>
      <c r="B137">
        <v>1</v>
      </c>
      <c r="C137">
        <v>0.76446191239592498</v>
      </c>
      <c r="D137">
        <v>1.1624347106583199</v>
      </c>
      <c r="E137">
        <v>1.41500749857786</v>
      </c>
      <c r="F137">
        <v>1.2411439209805</v>
      </c>
      <c r="G137">
        <v>1.25138335832859</v>
      </c>
      <c r="H137">
        <v>1.15436727517195</v>
      </c>
      <c r="I137">
        <v>1.55877333609143</v>
      </c>
      <c r="J137">
        <v>1.0864146454982699</v>
      </c>
      <c r="K137">
        <v>1.40973263691369</v>
      </c>
      <c r="L137">
        <v>11493.1525172408</v>
      </c>
      <c r="M137">
        <v>250</v>
      </c>
      <c r="O137">
        <v>45.9696681656838</v>
      </c>
      <c r="P137">
        <v>0.411145071470854</v>
      </c>
      <c r="Q137">
        <v>1.30240323944562</v>
      </c>
      <c r="R137">
        <v>0.53038976802069004</v>
      </c>
      <c r="S137" t="s">
        <v>1463</v>
      </c>
      <c r="T137" t="s">
        <v>2650</v>
      </c>
      <c r="U137" t="s">
        <v>2650</v>
      </c>
      <c r="V137" t="s">
        <v>2650</v>
      </c>
      <c r="W137" t="s">
        <v>2787</v>
      </c>
      <c r="X137">
        <v>2</v>
      </c>
      <c r="Y137" t="s">
        <v>4107</v>
      </c>
      <c r="Z137" t="s">
        <v>5417</v>
      </c>
      <c r="AA137">
        <v>1.2421742867581209</v>
      </c>
      <c r="AB137" t="str">
        <f>HYPERLINK("Melting_Curves/meltCurve_O95630_STAMBP.pdf", "Melting_Curves/meltCurve_O95630_STAMBP.pdf")</f>
        <v>Melting_Curves/meltCurve_O95630_STAMBP.pdf</v>
      </c>
    </row>
    <row r="138" spans="1:28" x14ac:dyDescent="0.25">
      <c r="A138" t="s">
        <v>142</v>
      </c>
      <c r="B138">
        <v>1</v>
      </c>
      <c r="C138">
        <v>0.77719187785298305</v>
      </c>
      <c r="D138">
        <v>1.14715207663421</v>
      </c>
      <c r="E138">
        <v>1.3062445188999601</v>
      </c>
      <c r="F138">
        <v>1.0912954509680499</v>
      </c>
      <c r="G138">
        <v>1.0558678689483001</v>
      </c>
      <c r="H138">
        <v>1.0255672235839099</v>
      </c>
      <c r="I138">
        <v>1.20584200939938</v>
      </c>
      <c r="J138">
        <v>0.77964291335926805</v>
      </c>
      <c r="K138">
        <v>1.0477164893975801</v>
      </c>
      <c r="L138">
        <v>1251.3981022335299</v>
      </c>
      <c r="M138">
        <v>14.1721852045427</v>
      </c>
      <c r="Q138">
        <v>0.72382321330857902</v>
      </c>
      <c r="R138">
        <v>-7.55094542735604E-2</v>
      </c>
      <c r="S138" t="s">
        <v>1464</v>
      </c>
      <c r="T138" t="s">
        <v>2650</v>
      </c>
      <c r="U138" t="s">
        <v>2650</v>
      </c>
      <c r="V138" t="s">
        <v>2650</v>
      </c>
      <c r="W138" t="s">
        <v>2788</v>
      </c>
      <c r="X138">
        <v>3</v>
      </c>
      <c r="Y138" t="s">
        <v>4108</v>
      </c>
      <c r="Z138" t="s">
        <v>5418</v>
      </c>
      <c r="AA138">
        <v>0.99920885649102098</v>
      </c>
      <c r="AB138" t="str">
        <f>HYPERLINK("Melting_Curves/meltCurve_O95747_OXSR1.pdf", "Melting_Curves/meltCurve_O95747_OXSR1.pdf")</f>
        <v>Melting_Curves/meltCurve_O95747_OXSR1.pdf</v>
      </c>
    </row>
    <row r="139" spans="1:28" x14ac:dyDescent="0.25">
      <c r="A139" t="s">
        <v>143</v>
      </c>
      <c r="B139">
        <v>1</v>
      </c>
      <c r="C139">
        <v>0.70702786377709004</v>
      </c>
      <c r="D139">
        <v>1.09876160990712</v>
      </c>
      <c r="E139">
        <v>1.28183694530444</v>
      </c>
      <c r="F139">
        <v>0.93700722394220803</v>
      </c>
      <c r="G139">
        <v>0.95366357069143404</v>
      </c>
      <c r="H139">
        <v>0.91763673890608899</v>
      </c>
      <c r="I139">
        <v>1.1042311661506701</v>
      </c>
      <c r="J139">
        <v>0.65863777089783304</v>
      </c>
      <c r="K139">
        <v>0.90061919504643995</v>
      </c>
      <c r="L139">
        <v>4656.0130021094501</v>
      </c>
      <c r="M139">
        <v>71.163600381029696</v>
      </c>
      <c r="O139">
        <v>65.375270741806105</v>
      </c>
      <c r="P139">
        <v>-5.8301449548331601E-2</v>
      </c>
      <c r="Q139">
        <v>0.78576279071090904</v>
      </c>
      <c r="R139">
        <v>0.19497761932364299</v>
      </c>
      <c r="S139" t="s">
        <v>1465</v>
      </c>
      <c r="T139" t="s">
        <v>2650</v>
      </c>
      <c r="U139" t="s">
        <v>2650</v>
      </c>
      <c r="V139" t="s">
        <v>2650</v>
      </c>
      <c r="W139" t="s">
        <v>2789</v>
      </c>
      <c r="X139">
        <v>4</v>
      </c>
      <c r="Y139" t="s">
        <v>4109</v>
      </c>
      <c r="Z139" t="s">
        <v>5419</v>
      </c>
      <c r="AA139">
        <v>0.96757283257778526</v>
      </c>
      <c r="AB139" t="str">
        <f>HYPERLINK("Melting_Curves/meltCurve_O95793_2_STAU1.pdf", "Melting_Curves/meltCurve_O95793_2_STAU1.pdf")</f>
        <v>Melting_Curves/meltCurve_O95793_2_STAU1.pdf</v>
      </c>
    </row>
    <row r="140" spans="1:28" x14ac:dyDescent="0.25">
      <c r="A140" t="s">
        <v>144</v>
      </c>
      <c r="B140">
        <v>1</v>
      </c>
      <c r="C140">
        <v>0.83076358296622599</v>
      </c>
      <c r="D140">
        <v>1.12092511013216</v>
      </c>
      <c r="E140">
        <v>1.00565345080764</v>
      </c>
      <c r="F140">
        <v>0.81086637298091002</v>
      </c>
      <c r="G140">
        <v>0.65625550660792997</v>
      </c>
      <c r="H140">
        <v>0.50220264317180596</v>
      </c>
      <c r="I140">
        <v>0.60425844346549196</v>
      </c>
      <c r="J140">
        <v>0.41505873715124803</v>
      </c>
      <c r="K140">
        <v>0.542202643171806</v>
      </c>
      <c r="L140">
        <v>1475.4747781897199</v>
      </c>
      <c r="M140">
        <v>27.0275143026279</v>
      </c>
      <c r="O140">
        <v>54.295348242963399</v>
      </c>
      <c r="P140">
        <v>-6.1056413437991598E-2</v>
      </c>
      <c r="Q140">
        <v>0.50938194701177997</v>
      </c>
      <c r="R140">
        <v>0.87150644041765901</v>
      </c>
      <c r="S140" t="s">
        <v>1466</v>
      </c>
      <c r="T140" t="s">
        <v>2650</v>
      </c>
      <c r="U140" t="s">
        <v>2650</v>
      </c>
      <c r="V140" t="s">
        <v>2650</v>
      </c>
      <c r="W140" t="s">
        <v>2790</v>
      </c>
      <c r="X140">
        <v>1</v>
      </c>
      <c r="Y140" t="s">
        <v>4110</v>
      </c>
      <c r="Z140" t="s">
        <v>5420</v>
      </c>
      <c r="AA140">
        <v>0.75195576585739254</v>
      </c>
      <c r="AB140" t="str">
        <f>HYPERLINK("Melting_Curves/meltCurve_O95816_BAG2.pdf", "Melting_Curves/meltCurve_O95816_BAG2.pdf")</f>
        <v>Melting_Curves/meltCurve_O95816_BAG2.pdf</v>
      </c>
    </row>
    <row r="141" spans="1:28" x14ac:dyDescent="0.25">
      <c r="A141" t="s">
        <v>145</v>
      </c>
      <c r="B141">
        <v>1</v>
      </c>
      <c r="C141">
        <v>0.82991965226554298</v>
      </c>
      <c r="D141">
        <v>1.12872102212856</v>
      </c>
      <c r="E141">
        <v>1.2569481032665999</v>
      </c>
      <c r="F141">
        <v>1.0789976290832499</v>
      </c>
      <c r="G141">
        <v>1.0905887776606999</v>
      </c>
      <c r="H141">
        <v>0.94454689146469994</v>
      </c>
      <c r="I141">
        <v>1.1171628029504701</v>
      </c>
      <c r="J141">
        <v>0.79471812434141198</v>
      </c>
      <c r="K141">
        <v>1.0527199683877799</v>
      </c>
      <c r="L141">
        <v>1684.3451197454001</v>
      </c>
      <c r="M141">
        <v>25.940362522632299</v>
      </c>
      <c r="O141">
        <v>64.549223567494195</v>
      </c>
      <c r="P141">
        <v>-3.7897354200320502E-3</v>
      </c>
      <c r="Q141">
        <v>0.96227936848749396</v>
      </c>
      <c r="R141">
        <v>-3.6774954746133098E-2</v>
      </c>
      <c r="S141" t="s">
        <v>1467</v>
      </c>
      <c r="T141" t="s">
        <v>2650</v>
      </c>
      <c r="U141" t="s">
        <v>2650</v>
      </c>
      <c r="V141" t="s">
        <v>2650</v>
      </c>
      <c r="W141" t="s">
        <v>2791</v>
      </c>
      <c r="X141">
        <v>2</v>
      </c>
      <c r="Y141" t="s">
        <v>4111</v>
      </c>
      <c r="Z141" t="s">
        <v>5421</v>
      </c>
      <c r="AA141">
        <v>0.99346278852398129</v>
      </c>
      <c r="AB141" t="str">
        <f>HYPERLINK("Melting_Curves/meltCurve_O95817_BAG3.pdf", "Melting_Curves/meltCurve_O95817_BAG3.pdf")</f>
        <v>Melting_Curves/meltCurve_O95817_BAG3.pdf</v>
      </c>
    </row>
    <row r="142" spans="1:28" x14ac:dyDescent="0.25">
      <c r="A142" t="s">
        <v>146</v>
      </c>
      <c r="B142">
        <v>1</v>
      </c>
      <c r="C142">
        <v>0.82648784576697398</v>
      </c>
      <c r="D142">
        <v>1.3435317127689299</v>
      </c>
      <c r="E142">
        <v>1.61923721709975</v>
      </c>
      <c r="F142">
        <v>1.2451103660240299</v>
      </c>
      <c r="G142">
        <v>1.4700335289186901</v>
      </c>
      <c r="H142">
        <v>1.43664431405421</v>
      </c>
      <c r="I142">
        <v>1.8297010338083299</v>
      </c>
      <c r="J142">
        <v>1.2170298966191699</v>
      </c>
      <c r="K142">
        <v>1.7109527801061799</v>
      </c>
      <c r="L142">
        <v>11463.824412481101</v>
      </c>
      <c r="M142">
        <v>250</v>
      </c>
      <c r="O142">
        <v>45.852365150692201</v>
      </c>
      <c r="P142">
        <v>0.68153521093818104</v>
      </c>
      <c r="Q142">
        <v>1.5</v>
      </c>
      <c r="R142">
        <v>0.60339803122914304</v>
      </c>
      <c r="S142" t="s">
        <v>1468</v>
      </c>
      <c r="T142" t="s">
        <v>2650</v>
      </c>
      <c r="U142" t="s">
        <v>2650</v>
      </c>
      <c r="V142" t="s">
        <v>2650</v>
      </c>
      <c r="W142" t="s">
        <v>2792</v>
      </c>
      <c r="X142">
        <v>1</v>
      </c>
      <c r="Y142" t="s">
        <v>4112</v>
      </c>
      <c r="Z142" t="s">
        <v>5422</v>
      </c>
      <c r="AA142">
        <v>1.4023714681677391</v>
      </c>
      <c r="AB142" t="str">
        <f>HYPERLINK("Melting_Curves/meltCurve_O95834_EML2.pdf", "Melting_Curves/meltCurve_O95834_EML2.pdf")</f>
        <v>Melting_Curves/meltCurve_O95834_EML2.pdf</v>
      </c>
    </row>
    <row r="143" spans="1:28" x14ac:dyDescent="0.25">
      <c r="A143" t="s">
        <v>147</v>
      </c>
      <c r="B143">
        <v>1</v>
      </c>
      <c r="C143">
        <v>0.87522436769105205</v>
      </c>
      <c r="D143">
        <v>1.3263711358897701</v>
      </c>
      <c r="E143">
        <v>1.5752696944973299</v>
      </c>
      <c r="F143">
        <v>2.0687154383102202</v>
      </c>
      <c r="G143">
        <v>2.4523615266068401</v>
      </c>
      <c r="H143">
        <v>2.70111503943432</v>
      </c>
      <c r="I143">
        <v>3.6787235971353498</v>
      </c>
      <c r="J143">
        <v>2.5876167165261501</v>
      </c>
      <c r="K143">
        <v>3.0572024295168201</v>
      </c>
      <c r="L143">
        <v>11470.9687105799</v>
      </c>
      <c r="M143">
        <v>250</v>
      </c>
      <c r="O143">
        <v>45.880922058945501</v>
      </c>
      <c r="P143">
        <v>0.68111073882389594</v>
      </c>
      <c r="Q143">
        <v>1.5</v>
      </c>
      <c r="R143">
        <v>-0.43374602385484001</v>
      </c>
      <c r="S143" t="s">
        <v>1469</v>
      </c>
      <c r="T143" t="s">
        <v>2650</v>
      </c>
      <c r="U143" t="s">
        <v>2650</v>
      </c>
      <c r="V143" t="s">
        <v>2650</v>
      </c>
      <c r="W143" t="s">
        <v>2793</v>
      </c>
      <c r="X143">
        <v>1</v>
      </c>
      <c r="Y143" t="s">
        <v>4113</v>
      </c>
      <c r="Z143" t="s">
        <v>5423</v>
      </c>
      <c r="AA143">
        <v>1.4018951565515549</v>
      </c>
      <c r="AB143" t="str">
        <f>HYPERLINK("Melting_Curves/meltCurve_O95861_3_BPNT1.pdf", "Melting_Curves/meltCurve_O95861_3_BPNT1.pdf")</f>
        <v>Melting_Curves/meltCurve_O95861_3_BPNT1.pdf</v>
      </c>
    </row>
    <row r="144" spans="1:28" x14ac:dyDescent="0.25">
      <c r="A144" t="s">
        <v>148</v>
      </c>
      <c r="B144">
        <v>1</v>
      </c>
      <c r="C144">
        <v>0.79817456194209602</v>
      </c>
      <c r="D144">
        <v>1.11999952770037</v>
      </c>
      <c r="E144">
        <v>1.1434846266471399</v>
      </c>
      <c r="F144">
        <v>0.99545411609124801</v>
      </c>
      <c r="G144">
        <v>0.88325933972512105</v>
      </c>
      <c r="H144">
        <v>0.90329665139564497</v>
      </c>
      <c r="I144">
        <v>1.1109431823548901</v>
      </c>
      <c r="J144">
        <v>0.61783875690738199</v>
      </c>
      <c r="K144">
        <v>0.80335805034714003</v>
      </c>
      <c r="L144">
        <v>5079.0825479833602</v>
      </c>
      <c r="M144">
        <v>77.484076061346997</v>
      </c>
      <c r="O144">
        <v>65.506392628735497</v>
      </c>
      <c r="P144">
        <v>-8.6982972087174204E-2</v>
      </c>
      <c r="Q144">
        <v>0.70585233778150003</v>
      </c>
      <c r="R144">
        <v>0.422884709974718</v>
      </c>
      <c r="S144" t="s">
        <v>1470</v>
      </c>
      <c r="T144" t="s">
        <v>2650</v>
      </c>
      <c r="U144" t="s">
        <v>2650</v>
      </c>
      <c r="V144" t="s">
        <v>2650</v>
      </c>
      <c r="W144" t="s">
        <v>2794</v>
      </c>
      <c r="X144">
        <v>3</v>
      </c>
      <c r="Y144" t="s">
        <v>4114</v>
      </c>
      <c r="Z144" t="s">
        <v>5424</v>
      </c>
      <c r="AA144">
        <v>0.95665089708939</v>
      </c>
      <c r="AB144" t="str">
        <f>HYPERLINK("Melting_Curves/meltCurve_O95865_DDAH2.pdf", "Melting_Curves/meltCurve_O95865_DDAH2.pdf")</f>
        <v>Melting_Curves/meltCurve_O95865_DDAH2.pdf</v>
      </c>
    </row>
    <row r="145" spans="1:28" x14ac:dyDescent="0.25">
      <c r="A145" t="s">
        <v>149</v>
      </c>
      <c r="B145">
        <v>1</v>
      </c>
      <c r="C145">
        <v>0.68405862008907503</v>
      </c>
      <c r="D145">
        <v>1.1760095543778499</v>
      </c>
      <c r="E145">
        <v>1.3318902241795401</v>
      </c>
      <c r="F145">
        <v>1.0433927993829499</v>
      </c>
      <c r="G145">
        <v>1.2227861959145101</v>
      </c>
      <c r="H145">
        <v>1.3535119802941</v>
      </c>
      <c r="I145">
        <v>1.7195143191261699</v>
      </c>
      <c r="J145">
        <v>1.15640317484014</v>
      </c>
      <c r="K145">
        <v>1.65298201089796</v>
      </c>
      <c r="L145">
        <v>679.20724278759303</v>
      </c>
      <c r="M145">
        <v>12.362841513710899</v>
      </c>
      <c r="O145">
        <v>53.561308231888702</v>
      </c>
      <c r="P145">
        <v>2.8858277704785499E-2</v>
      </c>
      <c r="Q145">
        <v>1.5</v>
      </c>
      <c r="R145">
        <v>0.50669508678150299</v>
      </c>
      <c r="S145" t="s">
        <v>1471</v>
      </c>
      <c r="T145" t="s">
        <v>2650</v>
      </c>
      <c r="U145" t="s">
        <v>2650</v>
      </c>
      <c r="V145" t="s">
        <v>2650</v>
      </c>
      <c r="W145" t="s">
        <v>2795</v>
      </c>
      <c r="X145">
        <v>3</v>
      </c>
      <c r="Y145" t="s">
        <v>4115</v>
      </c>
      <c r="Z145" t="s">
        <v>5425</v>
      </c>
      <c r="AA145">
        <v>1.2394522846790781</v>
      </c>
      <c r="AB145" t="str">
        <f>HYPERLINK("Melting_Curves/meltCurve_O95967_EFEMP2.pdf", "Melting_Curves/meltCurve_O95967_EFEMP2.pdf")</f>
        <v>Melting_Curves/meltCurve_O95967_EFEMP2.pdf</v>
      </c>
    </row>
    <row r="146" spans="1:28" x14ac:dyDescent="0.25">
      <c r="A146" t="s">
        <v>150</v>
      </c>
      <c r="B146">
        <v>1</v>
      </c>
      <c r="C146">
        <v>0.780982222790638</v>
      </c>
      <c r="D146">
        <v>1.05927868013813</v>
      </c>
      <c r="E146">
        <v>1.22918531781558</v>
      </c>
      <c r="F146">
        <v>0.97825808926972802</v>
      </c>
      <c r="G146">
        <v>1.0416293643688499</v>
      </c>
      <c r="H146">
        <v>0.95568487018800397</v>
      </c>
      <c r="I146">
        <v>1.1076864049111099</v>
      </c>
      <c r="J146">
        <v>0.79083002941552605</v>
      </c>
      <c r="K146">
        <v>1.03165366415143</v>
      </c>
      <c r="L146">
        <v>2027.74242424413</v>
      </c>
      <c r="M146">
        <v>31.161448556648601</v>
      </c>
      <c r="O146">
        <v>64.805922480470301</v>
      </c>
      <c r="P146">
        <v>-6.9102332584636498E-3</v>
      </c>
      <c r="Q146">
        <v>0.94251595443331004</v>
      </c>
      <c r="R146">
        <v>2.9194152163521399E-2</v>
      </c>
      <c r="S146" t="s">
        <v>1472</v>
      </c>
      <c r="T146" t="s">
        <v>2650</v>
      </c>
      <c r="U146" t="s">
        <v>2650</v>
      </c>
      <c r="V146" t="s">
        <v>2650</v>
      </c>
      <c r="W146" t="s">
        <v>2796</v>
      </c>
      <c r="X146">
        <v>2</v>
      </c>
      <c r="Y146" t="s">
        <v>4116</v>
      </c>
      <c r="Z146" t="s">
        <v>5426</v>
      </c>
      <c r="AA146">
        <v>0.9904577844640412</v>
      </c>
      <c r="AB146" t="str">
        <f>HYPERLINK("Melting_Curves/meltCurve_O95969_SCGB1D2.pdf", "Melting_Curves/meltCurve_O95969_SCGB1D2.pdf")</f>
        <v>Melting_Curves/meltCurve_O95969_SCGB1D2.pdf</v>
      </c>
    </row>
    <row r="147" spans="1:28" x14ac:dyDescent="0.25">
      <c r="A147" t="s">
        <v>151</v>
      </c>
      <c r="B147">
        <v>1</v>
      </c>
      <c r="C147">
        <v>0.77560662354937804</v>
      </c>
      <c r="D147">
        <v>1.2208155589193199</v>
      </c>
      <c r="E147">
        <v>1.3721847621668699</v>
      </c>
      <c r="F147">
        <v>1.0200678867941799</v>
      </c>
      <c r="G147">
        <v>1.1922388881243999</v>
      </c>
      <c r="H147">
        <v>1.1559332140727501</v>
      </c>
      <c r="I147">
        <v>1.2736801064171399</v>
      </c>
      <c r="J147">
        <v>0.832186596945094</v>
      </c>
      <c r="K147">
        <v>1.1089628916104799</v>
      </c>
      <c r="L147">
        <v>11125.100267206501</v>
      </c>
      <c r="M147">
        <v>250</v>
      </c>
      <c r="O147">
        <v>44.497552846421897</v>
      </c>
      <c r="P147">
        <v>0.206484499366584</v>
      </c>
      <c r="Q147">
        <v>1.1470088802136</v>
      </c>
      <c r="R147">
        <v>0.254304542021908</v>
      </c>
      <c r="S147" t="s">
        <v>1473</v>
      </c>
      <c r="T147" t="s">
        <v>2650</v>
      </c>
      <c r="U147" t="s">
        <v>2650</v>
      </c>
      <c r="V147" t="s">
        <v>2650</v>
      </c>
      <c r="W147" t="s">
        <v>2797</v>
      </c>
      <c r="X147">
        <v>1</v>
      </c>
      <c r="Y147" t="s">
        <v>4117</v>
      </c>
      <c r="Z147" t="s">
        <v>5427</v>
      </c>
      <c r="AA147">
        <v>1.12494410179791</v>
      </c>
      <c r="AB147" t="str">
        <f>HYPERLINK("Melting_Curves/meltCurve_O95980_RECK.pdf", "Melting_Curves/meltCurve_O95980_RECK.pdf")</f>
        <v>Melting_Curves/meltCurve_O95980_RECK.pdf</v>
      </c>
    </row>
    <row r="148" spans="1:28" x14ac:dyDescent="0.25">
      <c r="A148" t="s">
        <v>152</v>
      </c>
      <c r="B148">
        <v>1</v>
      </c>
      <c r="C148">
        <v>0.86460628186567601</v>
      </c>
      <c r="D148">
        <v>1.30307798829231</v>
      </c>
      <c r="E148">
        <v>1.5893497828413199</v>
      </c>
      <c r="F148">
        <v>1.36652609051426</v>
      </c>
      <c r="G148">
        <v>1.4294706363693599</v>
      </c>
      <c r="H148">
        <v>1.43375086548751</v>
      </c>
      <c r="I148">
        <v>1.7890728268395499</v>
      </c>
      <c r="J148">
        <v>1.25486246616731</v>
      </c>
      <c r="K148">
        <v>1.63951658588783</v>
      </c>
      <c r="L148">
        <v>11480.1656152504</v>
      </c>
      <c r="M148">
        <v>250</v>
      </c>
      <c r="O148">
        <v>45.917724474118501</v>
      </c>
      <c r="P148">
        <v>0.68056509384610897</v>
      </c>
      <c r="Q148">
        <v>1.5</v>
      </c>
      <c r="R148">
        <v>0.696601385324635</v>
      </c>
      <c r="S148" t="s">
        <v>1474</v>
      </c>
      <c r="T148" t="s">
        <v>2650</v>
      </c>
      <c r="U148" t="s">
        <v>2650</v>
      </c>
      <c r="V148" t="s">
        <v>2650</v>
      </c>
      <c r="W148" t="s">
        <v>2798</v>
      </c>
      <c r="X148">
        <v>4</v>
      </c>
      <c r="Y148" t="s">
        <v>4118</v>
      </c>
      <c r="Z148" t="s">
        <v>5428</v>
      </c>
      <c r="AA148">
        <v>1.4012819972926629</v>
      </c>
      <c r="AB148" t="str">
        <f>HYPERLINK("Melting_Curves/meltCurve_O95994_AGR2.pdf", "Melting_Curves/meltCurve_O95994_AGR2.pdf")</f>
        <v>Melting_Curves/meltCurve_O95994_AGR2.pdf</v>
      </c>
    </row>
    <row r="149" spans="1:28" x14ac:dyDescent="0.25">
      <c r="A149" t="s">
        <v>153</v>
      </c>
      <c r="B149">
        <v>1</v>
      </c>
      <c r="C149">
        <v>0.92322055418627202</v>
      </c>
      <c r="D149">
        <v>1.07341847785496</v>
      </c>
      <c r="E149">
        <v>1.21540070206886</v>
      </c>
      <c r="F149">
        <v>1.10355515721861</v>
      </c>
      <c r="G149">
        <v>1.0419000672193599</v>
      </c>
      <c r="H149">
        <v>0.87702591679737096</v>
      </c>
      <c r="I149">
        <v>1.09888714616476</v>
      </c>
      <c r="J149">
        <v>0.81144969751288398</v>
      </c>
      <c r="K149">
        <v>0.92538651131525895</v>
      </c>
      <c r="L149">
        <v>15000</v>
      </c>
      <c r="M149">
        <v>228.853791182132</v>
      </c>
      <c r="O149">
        <v>65.539017925960806</v>
      </c>
      <c r="P149">
        <v>-0.11491532805343301</v>
      </c>
      <c r="Q149">
        <v>0.86836244038739296</v>
      </c>
      <c r="R149">
        <v>0.25003128021169602</v>
      </c>
      <c r="S149" t="s">
        <v>1475</v>
      </c>
      <c r="T149" t="s">
        <v>2650</v>
      </c>
      <c r="U149" t="s">
        <v>2650</v>
      </c>
      <c r="V149" t="s">
        <v>2650</v>
      </c>
      <c r="W149" t="s">
        <v>2799</v>
      </c>
      <c r="X149">
        <v>1</v>
      </c>
      <c r="Y149" t="s">
        <v>4119</v>
      </c>
      <c r="Z149" t="s">
        <v>5429</v>
      </c>
      <c r="AA149">
        <v>0.98046564057021457</v>
      </c>
      <c r="AB149" t="str">
        <f>HYPERLINK("Melting_Curves/meltCurve_O96007_MOCS2.pdf", "Melting_Curves/meltCurve_O96007_MOCS2.pdf")</f>
        <v>Melting_Curves/meltCurve_O96007_MOCS2.pdf</v>
      </c>
    </row>
    <row r="150" spans="1:28" x14ac:dyDescent="0.25">
      <c r="A150" t="s">
        <v>154</v>
      </c>
      <c r="B150">
        <v>1</v>
      </c>
      <c r="C150">
        <v>0.83583106267030005</v>
      </c>
      <c r="D150">
        <v>1.23825613079019</v>
      </c>
      <c r="E150">
        <v>1.6993188010899201</v>
      </c>
      <c r="F150">
        <v>1.80095367847411</v>
      </c>
      <c r="G150">
        <v>2.51198910081744</v>
      </c>
      <c r="H150">
        <v>2.57948228882834</v>
      </c>
      <c r="I150">
        <v>3.23024523160763</v>
      </c>
      <c r="J150">
        <v>2.1382288828337899</v>
      </c>
      <c r="K150">
        <v>2.6248773841961901</v>
      </c>
      <c r="L150">
        <v>11504.324929732</v>
      </c>
      <c r="M150">
        <v>250</v>
      </c>
      <c r="O150">
        <v>46.014354763620197</v>
      </c>
      <c r="P150">
        <v>0.67913589341870295</v>
      </c>
      <c r="Q150">
        <v>1.5</v>
      </c>
      <c r="R150">
        <v>-0.25795998944759002</v>
      </c>
      <c r="S150" t="s">
        <v>1476</v>
      </c>
      <c r="T150" t="s">
        <v>2650</v>
      </c>
      <c r="U150" t="s">
        <v>2650</v>
      </c>
      <c r="V150" t="s">
        <v>2650</v>
      </c>
      <c r="W150" t="s">
        <v>2800</v>
      </c>
      <c r="X150">
        <v>3</v>
      </c>
      <c r="Y150" t="s">
        <v>4120</v>
      </c>
      <c r="Z150" t="s">
        <v>5430</v>
      </c>
      <c r="AA150">
        <v>1.399671291528791</v>
      </c>
      <c r="AB150" t="str">
        <f>HYPERLINK("Melting_Curves/meltCurve_P00338_LDHA.pdf", "Melting_Curves/meltCurve_P00338_LDHA.pdf")</f>
        <v>Melting_Curves/meltCurve_P00338_LDHA.pdf</v>
      </c>
    </row>
    <row r="151" spans="1:28" x14ac:dyDescent="0.25">
      <c r="A151" t="s">
        <v>155</v>
      </c>
      <c r="B151">
        <v>1</v>
      </c>
      <c r="C151">
        <v>1.1514279463489301</v>
      </c>
      <c r="D151">
        <v>1.42490028777705</v>
      </c>
      <c r="E151">
        <v>1.8712239780549</v>
      </c>
      <c r="F151">
        <v>1.4697329227040901</v>
      </c>
      <c r="G151">
        <v>1.6567038589051</v>
      </c>
      <c r="H151">
        <v>1.3980579256491801</v>
      </c>
      <c r="I151">
        <v>1.73659144073644</v>
      </c>
      <c r="J151">
        <v>1.3551269753117601</v>
      </c>
      <c r="K151">
        <v>1.6146985072617399</v>
      </c>
      <c r="L151">
        <v>2026.1627173049301</v>
      </c>
      <c r="M151">
        <v>46.330826517156197</v>
      </c>
      <c r="O151">
        <v>43.651255633536998</v>
      </c>
      <c r="P151">
        <v>0.13267338972356199</v>
      </c>
      <c r="Q151">
        <v>1.5</v>
      </c>
      <c r="R151">
        <v>0.57845903272622501</v>
      </c>
      <c r="S151" t="s">
        <v>1477</v>
      </c>
      <c r="T151" t="s">
        <v>2650</v>
      </c>
      <c r="U151" t="s">
        <v>2650</v>
      </c>
      <c r="V151" t="s">
        <v>2650</v>
      </c>
      <c r="W151" t="s">
        <v>2801</v>
      </c>
      <c r="X151">
        <v>5</v>
      </c>
      <c r="Y151" t="s">
        <v>4121</v>
      </c>
      <c r="Z151" t="s">
        <v>5431</v>
      </c>
      <c r="AA151">
        <v>1.4365004854676979</v>
      </c>
      <c r="AB151" t="str">
        <f>HYPERLINK("Melting_Curves/meltCurve_P00352_ALDH1A1.pdf", "Melting_Curves/meltCurve_P00352_ALDH1A1.pdf")</f>
        <v>Melting_Curves/meltCurve_P00352_ALDH1A1.pdf</v>
      </c>
    </row>
    <row r="152" spans="1:28" x14ac:dyDescent="0.25">
      <c r="A152" t="s">
        <v>156</v>
      </c>
      <c r="B152">
        <v>1</v>
      </c>
      <c r="C152">
        <v>0.69914694489846196</v>
      </c>
      <c r="D152">
        <v>1.2166222600362699</v>
      </c>
      <c r="E152">
        <v>1.56283724783378</v>
      </c>
      <c r="F152">
        <v>1.27989611087477</v>
      </c>
      <c r="G152">
        <v>1.95264536641068</v>
      </c>
      <c r="H152">
        <v>2.9706916239392802</v>
      </c>
      <c r="I152">
        <v>5.2764032868369801</v>
      </c>
      <c r="J152">
        <v>3.6562702908447702</v>
      </c>
      <c r="K152">
        <v>5.4423124286322002</v>
      </c>
      <c r="L152">
        <v>11512.356786275101</v>
      </c>
      <c r="M152">
        <v>250</v>
      </c>
      <c r="O152">
        <v>46.046480126662502</v>
      </c>
      <c r="P152">
        <v>0.67866207887572305</v>
      </c>
      <c r="Q152">
        <v>1.5</v>
      </c>
      <c r="R152">
        <v>-0.33294859440054497</v>
      </c>
      <c r="S152" t="s">
        <v>1478</v>
      </c>
      <c r="T152" t="s">
        <v>2650</v>
      </c>
      <c r="U152" t="s">
        <v>2650</v>
      </c>
      <c r="V152" t="s">
        <v>2650</v>
      </c>
      <c r="W152" t="s">
        <v>2802</v>
      </c>
      <c r="X152">
        <v>5</v>
      </c>
      <c r="Y152" t="s">
        <v>4122</v>
      </c>
      <c r="Z152" t="s">
        <v>5432</v>
      </c>
      <c r="AA152">
        <v>1.3991358062343511</v>
      </c>
      <c r="AB152" t="str">
        <f>HYPERLINK("Melting_Curves/meltCurve_P00390_5_GSR.pdf", "Melting_Curves/meltCurve_P00390_5_GSR.pdf")</f>
        <v>Melting_Curves/meltCurve_P00390_5_GSR.pdf</v>
      </c>
    </row>
    <row r="153" spans="1:28" x14ac:dyDescent="0.25">
      <c r="A153" t="s">
        <v>157</v>
      </c>
      <c r="B153">
        <v>1</v>
      </c>
      <c r="C153">
        <v>0.94869217757948698</v>
      </c>
      <c r="D153">
        <v>1.09388865736769</v>
      </c>
      <c r="E153">
        <v>1.15662000833476</v>
      </c>
      <c r="F153">
        <v>1.0786409432991</v>
      </c>
      <c r="G153">
        <v>1.22498958154585</v>
      </c>
      <c r="H153">
        <v>1.0242198416395001</v>
      </c>
      <c r="I153">
        <v>1.24621871399505</v>
      </c>
      <c r="J153">
        <v>0.87456181207560102</v>
      </c>
      <c r="K153">
        <v>1.13794033290025</v>
      </c>
      <c r="L153">
        <v>11406.435671716899</v>
      </c>
      <c r="M153">
        <v>250</v>
      </c>
      <c r="O153">
        <v>45.622823047349897</v>
      </c>
      <c r="P153">
        <v>0.14544554839309301</v>
      </c>
      <c r="Q153">
        <v>1.1061701839081199</v>
      </c>
      <c r="R153">
        <v>0.20451831760424799</v>
      </c>
      <c r="S153" t="s">
        <v>1479</v>
      </c>
      <c r="T153" t="s">
        <v>2650</v>
      </c>
      <c r="U153" t="s">
        <v>2650</v>
      </c>
      <c r="V153" t="s">
        <v>2650</v>
      </c>
      <c r="W153" t="s">
        <v>2803</v>
      </c>
      <c r="X153">
        <v>12</v>
      </c>
      <c r="Y153" t="s">
        <v>4123</v>
      </c>
      <c r="Z153" t="s">
        <v>5433</v>
      </c>
      <c r="AA153">
        <v>1.086252144743282</v>
      </c>
      <c r="AB153" t="str">
        <f>HYPERLINK("Melting_Curves/meltCurve_P00441_SOD1.pdf", "Melting_Curves/meltCurve_P00441_SOD1.pdf")</f>
        <v>Melting_Curves/meltCurve_P00441_SOD1.pdf</v>
      </c>
    </row>
    <row r="154" spans="1:28" x14ac:dyDescent="0.25">
      <c r="A154" t="s">
        <v>158</v>
      </c>
      <c r="B154">
        <v>1</v>
      </c>
      <c r="C154">
        <v>0.84076480507886098</v>
      </c>
      <c r="D154">
        <v>1.2126277155044101</v>
      </c>
      <c r="E154">
        <v>1.5842922329133999</v>
      </c>
      <c r="F154">
        <v>1.6104057137188801</v>
      </c>
      <c r="G154">
        <v>2.0350659656780099</v>
      </c>
      <c r="H154">
        <v>1.9988840392818199</v>
      </c>
      <c r="I154">
        <v>2.5406705683959898</v>
      </c>
      <c r="J154">
        <v>1.8447326654101801</v>
      </c>
      <c r="K154">
        <v>2.3029461362960002</v>
      </c>
      <c r="L154">
        <v>11513.8568451304</v>
      </c>
      <c r="M154">
        <v>250</v>
      </c>
      <c r="O154">
        <v>46.052480032694703</v>
      </c>
      <c r="P154">
        <v>0.67857366080053105</v>
      </c>
      <c r="Q154">
        <v>1.5</v>
      </c>
      <c r="R154">
        <v>0.127186683173036</v>
      </c>
      <c r="S154" t="s">
        <v>1480</v>
      </c>
      <c r="T154" t="s">
        <v>2650</v>
      </c>
      <c r="U154" t="s">
        <v>2650</v>
      </c>
      <c r="V154" t="s">
        <v>2650</v>
      </c>
      <c r="W154" t="s">
        <v>2804</v>
      </c>
      <c r="X154">
        <v>14</v>
      </c>
      <c r="Y154" t="s">
        <v>4124</v>
      </c>
      <c r="Z154" t="s">
        <v>5434</v>
      </c>
      <c r="AA154">
        <v>1.3990357970455041</v>
      </c>
      <c r="AB154" t="str">
        <f>HYPERLINK("Melting_Curves/meltCurve_P00450_CP.pdf", "Melting_Curves/meltCurve_P00450_CP.pdf")</f>
        <v>Melting_Curves/meltCurve_P00450_CP.pdf</v>
      </c>
    </row>
    <row r="155" spans="1:28" x14ac:dyDescent="0.25">
      <c r="A155" t="s">
        <v>159</v>
      </c>
      <c r="B155">
        <v>1</v>
      </c>
      <c r="C155">
        <v>1.1074691162496</v>
      </c>
      <c r="D155">
        <v>1.15788406715236</v>
      </c>
      <c r="E155">
        <v>1.3999366487171401</v>
      </c>
      <c r="F155">
        <v>1.27044662654419</v>
      </c>
      <c r="G155">
        <v>1.50003167564143</v>
      </c>
      <c r="H155">
        <v>1.7827050997782701</v>
      </c>
      <c r="I155">
        <v>3.0284447260056999</v>
      </c>
      <c r="J155">
        <v>2.4655052264808401</v>
      </c>
      <c r="K155">
        <v>3.29743427304403</v>
      </c>
      <c r="L155">
        <v>1124.50928499004</v>
      </c>
      <c r="M155">
        <v>23.6977722226809</v>
      </c>
      <c r="O155">
        <v>47.118080998039297</v>
      </c>
      <c r="P155">
        <v>6.2869088681476004E-2</v>
      </c>
      <c r="Q155">
        <v>1.5</v>
      </c>
      <c r="R155">
        <v>-5.9203553386189697E-2</v>
      </c>
      <c r="S155" t="s">
        <v>1481</v>
      </c>
      <c r="T155" t="s">
        <v>2650</v>
      </c>
      <c r="U155" t="s">
        <v>2650</v>
      </c>
      <c r="V155" t="s">
        <v>2650</v>
      </c>
      <c r="W155" t="s">
        <v>2805</v>
      </c>
      <c r="X155">
        <v>1</v>
      </c>
      <c r="Y155" t="s">
        <v>4125</v>
      </c>
      <c r="Z155" t="s">
        <v>5435</v>
      </c>
      <c r="AA155">
        <v>1.370817987545168</v>
      </c>
      <c r="AB155" t="str">
        <f>HYPERLINK("Melting_Curves/meltCurve_P00491_PNP.pdf", "Melting_Curves/meltCurve_P00491_PNP.pdf")</f>
        <v>Melting_Curves/meltCurve_P00491_PNP.pdf</v>
      </c>
    </row>
    <row r="156" spans="1:28" x14ac:dyDescent="0.25">
      <c r="A156" t="s">
        <v>160</v>
      </c>
      <c r="B156">
        <v>1</v>
      </c>
      <c r="C156">
        <v>0.82141613464886798</v>
      </c>
      <c r="D156">
        <v>1.1103308183400999</v>
      </c>
      <c r="E156">
        <v>1.41358096343587</v>
      </c>
      <c r="F156">
        <v>1.08491004062681</v>
      </c>
      <c r="G156">
        <v>1.27266395821242</v>
      </c>
      <c r="H156">
        <v>1.05026117237377</v>
      </c>
      <c r="I156">
        <v>1.1764364480557199</v>
      </c>
      <c r="J156">
        <v>0.81154962275101605</v>
      </c>
      <c r="K156">
        <v>1.2132907719094601</v>
      </c>
      <c r="L156">
        <v>11448.1845519528</v>
      </c>
      <c r="M156">
        <v>250</v>
      </c>
      <c r="O156">
        <v>45.789807572638402</v>
      </c>
      <c r="P156">
        <v>0.199415284561166</v>
      </c>
      <c r="Q156">
        <v>1.1460990005922</v>
      </c>
      <c r="R156">
        <v>0.22012395854217001</v>
      </c>
      <c r="S156" t="s">
        <v>1482</v>
      </c>
      <c r="T156" t="s">
        <v>2650</v>
      </c>
      <c r="U156" t="s">
        <v>2650</v>
      </c>
      <c r="V156" t="s">
        <v>2650</v>
      </c>
      <c r="W156" t="s">
        <v>2806</v>
      </c>
      <c r="X156">
        <v>2</v>
      </c>
      <c r="Y156" t="s">
        <v>4126</v>
      </c>
      <c r="Z156" t="s">
        <v>5436</v>
      </c>
      <c r="AA156">
        <v>1.1178768171715889</v>
      </c>
      <c r="AB156" t="str">
        <f>HYPERLINK("Melting_Curves/meltCurve_P00492_HPRT1.pdf", "Melting_Curves/meltCurve_P00492_HPRT1.pdf")</f>
        <v>Melting_Curves/meltCurve_P00492_HPRT1.pdf</v>
      </c>
    </row>
    <row r="157" spans="1:28" x14ac:dyDescent="0.25">
      <c r="A157" t="s">
        <v>161</v>
      </c>
      <c r="B157">
        <v>1</v>
      </c>
      <c r="C157">
        <v>0.76839851325145403</v>
      </c>
      <c r="D157">
        <v>1.314883645766</v>
      </c>
      <c r="E157">
        <v>1.6031835811247599</v>
      </c>
      <c r="F157">
        <v>1.15837104072398</v>
      </c>
      <c r="G157">
        <v>1.1181318681318699</v>
      </c>
      <c r="H157">
        <v>1.6885908209437599</v>
      </c>
      <c r="I157">
        <v>1.1715416936005201</v>
      </c>
      <c r="J157">
        <v>0.82748868778280504</v>
      </c>
      <c r="K157">
        <v>1.0561570782159</v>
      </c>
      <c r="L157">
        <v>11126.250904970901</v>
      </c>
      <c r="M157">
        <v>250</v>
      </c>
      <c r="O157">
        <v>44.502152679178003</v>
      </c>
      <c r="P157">
        <v>0.340201382182659</v>
      </c>
      <c r="Q157">
        <v>1.2422351172280099</v>
      </c>
      <c r="R157">
        <v>0.22267474446880001</v>
      </c>
      <c r="S157" t="s">
        <v>1483</v>
      </c>
      <c r="T157" t="s">
        <v>2650</v>
      </c>
      <c r="U157" t="s">
        <v>2650</v>
      </c>
      <c r="V157" t="s">
        <v>2650</v>
      </c>
      <c r="W157" t="s">
        <v>2807</v>
      </c>
      <c r="X157">
        <v>2</v>
      </c>
      <c r="Y157" t="s">
        <v>4127</v>
      </c>
      <c r="Z157" t="s">
        <v>5437</v>
      </c>
      <c r="AA157">
        <v>1.20584052797907</v>
      </c>
      <c r="AB157" t="str">
        <f>HYPERLINK("Melting_Curves/meltCurve_P00533_2_EGFR.pdf", "Melting_Curves/meltCurve_P00533_2_EGFR.pdf")</f>
        <v>Melting_Curves/meltCurve_P00533_2_EGFR.pdf</v>
      </c>
    </row>
    <row r="158" spans="1:28" x14ac:dyDescent="0.25">
      <c r="A158" t="s">
        <v>162</v>
      </c>
      <c r="B158">
        <v>1</v>
      </c>
      <c r="C158">
        <v>0.74087125274500798</v>
      </c>
      <c r="D158">
        <v>1.1188396915377199</v>
      </c>
      <c r="E158">
        <v>1.4202032582605599</v>
      </c>
      <c r="F158">
        <v>1.12297635462949</v>
      </c>
      <c r="G158">
        <v>1.5065114141259399</v>
      </c>
      <c r="H158">
        <v>1.53250600071498</v>
      </c>
      <c r="I158">
        <v>2.2240437158469901</v>
      </c>
      <c r="J158">
        <v>1.4203564680047001</v>
      </c>
      <c r="K158">
        <v>1.9523517695725401</v>
      </c>
      <c r="L158">
        <v>1087.7839895495099</v>
      </c>
      <c r="M158">
        <v>21.881823737988</v>
      </c>
      <c r="O158">
        <v>49.302161327256897</v>
      </c>
      <c r="P158">
        <v>5.5480130520617503E-2</v>
      </c>
      <c r="Q158">
        <v>1.5</v>
      </c>
      <c r="R158">
        <v>0.47806017236058801</v>
      </c>
      <c r="S158" t="s">
        <v>1484</v>
      </c>
      <c r="T158" t="s">
        <v>2650</v>
      </c>
      <c r="U158" t="s">
        <v>2650</v>
      </c>
      <c r="V158" t="s">
        <v>2650</v>
      </c>
      <c r="W158" t="s">
        <v>2808</v>
      </c>
      <c r="X158">
        <v>13</v>
      </c>
      <c r="Y158" t="s">
        <v>4128</v>
      </c>
      <c r="Z158" t="s">
        <v>5438</v>
      </c>
      <c r="AA158">
        <v>1.332309186772116</v>
      </c>
      <c r="AB158" t="str">
        <f>HYPERLINK("Melting_Curves/meltCurve_P00558_PGK1.pdf", "Melting_Curves/meltCurve_P00558_PGK1.pdf")</f>
        <v>Melting_Curves/meltCurve_P00558_PGK1.pdf</v>
      </c>
    </row>
    <row r="159" spans="1:28" x14ac:dyDescent="0.25">
      <c r="A159" t="s">
        <v>163</v>
      </c>
      <c r="B159">
        <v>1</v>
      </c>
      <c r="C159">
        <v>0.79956836535783904</v>
      </c>
      <c r="D159">
        <v>1.0809314954051801</v>
      </c>
      <c r="E159">
        <v>1.2332219437482601</v>
      </c>
      <c r="F159">
        <v>0.92766638819270397</v>
      </c>
      <c r="G159">
        <v>0.93615984405458097</v>
      </c>
      <c r="H159">
        <v>0.93452380952380998</v>
      </c>
      <c r="I159">
        <v>1.06752993595099</v>
      </c>
      <c r="J159">
        <v>0.74404761904761896</v>
      </c>
      <c r="K159">
        <v>0.89835700362016102</v>
      </c>
      <c r="L159">
        <v>6016.4552484486403</v>
      </c>
      <c r="M159">
        <v>91.936280918582597</v>
      </c>
      <c r="O159">
        <v>65.410631974269805</v>
      </c>
      <c r="P159">
        <v>-6.2724145083916105E-2</v>
      </c>
      <c r="Q159">
        <v>0.82149264157151303</v>
      </c>
      <c r="R159">
        <v>0.239894390385684</v>
      </c>
      <c r="S159" t="s">
        <v>1485</v>
      </c>
      <c r="T159" t="s">
        <v>2650</v>
      </c>
      <c r="U159" t="s">
        <v>2650</v>
      </c>
      <c r="V159" t="s">
        <v>2650</v>
      </c>
      <c r="W159" t="s">
        <v>2809</v>
      </c>
      <c r="X159">
        <v>3</v>
      </c>
      <c r="Y159" t="s">
        <v>4129</v>
      </c>
      <c r="Z159" t="s">
        <v>5439</v>
      </c>
      <c r="AA159">
        <v>0.97301563095548249</v>
      </c>
      <c r="AB159" t="str">
        <f>HYPERLINK("Melting_Curves/meltCurve_P00568_AK1.pdf", "Melting_Curves/meltCurve_P00568_AK1.pdf")</f>
        <v>Melting_Curves/meltCurve_P00568_AK1.pdf</v>
      </c>
    </row>
    <row r="160" spans="1:28" x14ac:dyDescent="0.25">
      <c r="A160" t="s">
        <v>164</v>
      </c>
      <c r="B160">
        <v>1</v>
      </c>
      <c r="C160">
        <v>1.02045433975925</v>
      </c>
      <c r="D160">
        <v>0.95438501221829997</v>
      </c>
      <c r="E160">
        <v>1.0089600868856901</v>
      </c>
      <c r="F160">
        <v>0.91302380305910003</v>
      </c>
      <c r="G160">
        <v>0.99628925694632997</v>
      </c>
      <c r="H160">
        <v>0.91745859353787695</v>
      </c>
      <c r="I160">
        <v>1.0051588379038801</v>
      </c>
      <c r="J160">
        <v>0.87267626029504897</v>
      </c>
      <c r="K160">
        <v>0.93574079102181196</v>
      </c>
      <c r="L160">
        <v>290.10805382826999</v>
      </c>
      <c r="M160">
        <v>3.7202601920091301</v>
      </c>
      <c r="O160">
        <v>62.4948428633978</v>
      </c>
      <c r="P160">
        <v>-3.0203734735748402E-3</v>
      </c>
      <c r="Q160">
        <v>0.80027929749654603</v>
      </c>
      <c r="R160">
        <v>0.29614411025369602</v>
      </c>
      <c r="S160" t="s">
        <v>1486</v>
      </c>
      <c r="T160" t="s">
        <v>2650</v>
      </c>
      <c r="U160" t="s">
        <v>2650</v>
      </c>
      <c r="V160" t="s">
        <v>2650</v>
      </c>
      <c r="W160" t="s">
        <v>2810</v>
      </c>
      <c r="X160">
        <v>9</v>
      </c>
      <c r="Y160" t="s">
        <v>4130</v>
      </c>
      <c r="Z160" t="s">
        <v>5440</v>
      </c>
      <c r="AA160">
        <v>0.9625787818185223</v>
      </c>
      <c r="AB160" t="str">
        <f>HYPERLINK("Melting_Curves/meltCurve_P00709_LALBA.pdf", "Melting_Curves/meltCurve_P00709_LALBA.pdf")</f>
        <v>Melting_Curves/meltCurve_P00709_LALBA.pdf</v>
      </c>
    </row>
    <row r="161" spans="1:28" x14ac:dyDescent="0.25">
      <c r="A161" t="s">
        <v>165</v>
      </c>
      <c r="B161">
        <v>1</v>
      </c>
      <c r="C161">
        <v>0.76832569997518196</v>
      </c>
      <c r="D161">
        <v>1.15673578052027</v>
      </c>
      <c r="E161">
        <v>1.4211583150960001</v>
      </c>
      <c r="F161">
        <v>1.23728086997721</v>
      </c>
      <c r="G161">
        <v>2.0920289691582199</v>
      </c>
      <c r="H161">
        <v>2.1050019177402302</v>
      </c>
      <c r="I161">
        <v>2.4996051711301099</v>
      </c>
      <c r="J161">
        <v>1.68851386413375</v>
      </c>
      <c r="K161">
        <v>2.2990321052275302</v>
      </c>
      <c r="L161">
        <v>1642.5364624782501</v>
      </c>
      <c r="M161">
        <v>34.401267599396903</v>
      </c>
      <c r="O161">
        <v>47.585916163517702</v>
      </c>
      <c r="P161">
        <v>9.0366542170324901E-2</v>
      </c>
      <c r="Q161">
        <v>1.5</v>
      </c>
      <c r="R161">
        <v>0.216081766302961</v>
      </c>
      <c r="S161" t="s">
        <v>1487</v>
      </c>
      <c r="T161" t="s">
        <v>2650</v>
      </c>
      <c r="U161" t="s">
        <v>2650</v>
      </c>
      <c r="V161" t="s">
        <v>2650</v>
      </c>
      <c r="W161" t="s">
        <v>2811</v>
      </c>
      <c r="X161">
        <v>9</v>
      </c>
      <c r="Y161" t="s">
        <v>4131</v>
      </c>
      <c r="Z161" t="s">
        <v>5441</v>
      </c>
      <c r="AA161">
        <v>1.368635896480318</v>
      </c>
      <c r="AB161" t="str">
        <f>HYPERLINK("Melting_Curves/meltCurve_P00734_F2.pdf", "Melting_Curves/meltCurve_P00734_F2.pdf")</f>
        <v>Melting_Curves/meltCurve_P00734_F2.pdf</v>
      </c>
    </row>
    <row r="162" spans="1:28" x14ac:dyDescent="0.25">
      <c r="A162" t="s">
        <v>166</v>
      </c>
      <c r="B162">
        <v>1</v>
      </c>
      <c r="C162">
        <v>0.95041926677067101</v>
      </c>
      <c r="D162">
        <v>1.22928042121685</v>
      </c>
      <c r="E162">
        <v>1.48259555382215</v>
      </c>
      <c r="F162">
        <v>1.2679894695787799</v>
      </c>
      <c r="G162">
        <v>1.6960315912636501</v>
      </c>
      <c r="H162">
        <v>1.40371489859594</v>
      </c>
      <c r="I162">
        <v>1.6021840873634901</v>
      </c>
      <c r="J162">
        <v>1.30703978159126</v>
      </c>
      <c r="K162">
        <v>1.68501365054602</v>
      </c>
      <c r="L162">
        <v>11506.276737521999</v>
      </c>
      <c r="M162">
        <v>250</v>
      </c>
      <c r="O162">
        <v>46.0221614283099</v>
      </c>
      <c r="P162">
        <v>0.668266756639598</v>
      </c>
      <c r="Q162">
        <v>1.49208129059781</v>
      </c>
      <c r="R162">
        <v>0.70029785957591395</v>
      </c>
      <c r="S162" t="s">
        <v>1488</v>
      </c>
      <c r="T162" t="s">
        <v>2650</v>
      </c>
      <c r="U162" t="s">
        <v>2650</v>
      </c>
      <c r="V162" t="s">
        <v>2650</v>
      </c>
      <c r="W162" t="s">
        <v>2812</v>
      </c>
      <c r="X162">
        <v>4</v>
      </c>
      <c r="Y162" t="s">
        <v>4132</v>
      </c>
      <c r="Z162" t="s">
        <v>5442</v>
      </c>
      <c r="AA162">
        <v>1.3932134634123019</v>
      </c>
      <c r="AB162" t="str">
        <f>HYPERLINK("Melting_Curves/meltCurve_P00736_C1R.pdf", "Melting_Curves/meltCurve_P00736_C1R.pdf")</f>
        <v>Melting_Curves/meltCurve_P00736_C1R.pdf</v>
      </c>
    </row>
    <row r="163" spans="1:28" x14ac:dyDescent="0.25">
      <c r="A163" t="s">
        <v>167</v>
      </c>
      <c r="B163">
        <v>1</v>
      </c>
      <c r="C163">
        <v>0.83230155715913401</v>
      </c>
      <c r="D163">
        <v>1.3584314470186101</v>
      </c>
      <c r="E163">
        <v>2.3913786555260201</v>
      </c>
      <c r="F163">
        <v>1.8731484998101</v>
      </c>
      <c r="G163">
        <v>2.0497531333080099</v>
      </c>
      <c r="H163">
        <v>1.7165590581086201</v>
      </c>
      <c r="I163">
        <v>2.12742119255602</v>
      </c>
      <c r="J163">
        <v>1.46310292442081</v>
      </c>
      <c r="K163">
        <v>1.94511963539689</v>
      </c>
      <c r="L163">
        <v>11457.268160118399</v>
      </c>
      <c r="M163">
        <v>250</v>
      </c>
      <c r="O163">
        <v>45.826139816466799</v>
      </c>
      <c r="P163">
        <v>0.68192520940812495</v>
      </c>
      <c r="Q163">
        <v>1.5</v>
      </c>
      <c r="R163">
        <v>0.165980567724171</v>
      </c>
      <c r="S163" t="s">
        <v>1489</v>
      </c>
      <c r="T163" t="s">
        <v>2650</v>
      </c>
      <c r="U163" t="s">
        <v>2650</v>
      </c>
      <c r="V163" t="s">
        <v>2650</v>
      </c>
      <c r="W163" t="s">
        <v>2813</v>
      </c>
      <c r="X163">
        <v>18</v>
      </c>
      <c r="Y163" t="s">
        <v>4133</v>
      </c>
      <c r="Z163" t="s">
        <v>5443</v>
      </c>
      <c r="AA163">
        <v>1.402808574670827</v>
      </c>
      <c r="AB163" t="str">
        <f>HYPERLINK("Melting_Curves/meltCurve_P00738_HP.pdf", "Melting_Curves/meltCurve_P00738_HP.pdf")</f>
        <v>Melting_Curves/meltCurve_P00738_HP.pdf</v>
      </c>
    </row>
    <row r="164" spans="1:28" x14ac:dyDescent="0.25">
      <c r="A164" t="s">
        <v>168</v>
      </c>
      <c r="B164">
        <v>1</v>
      </c>
      <c r="C164">
        <v>0.765350684369413</v>
      </c>
      <c r="D164">
        <v>1.07637972976934</v>
      </c>
      <c r="E164">
        <v>1.4523579237375099</v>
      </c>
      <c r="F164">
        <v>1.33899000556874</v>
      </c>
      <c r="G164">
        <v>1.2010609924089199</v>
      </c>
      <c r="H164">
        <v>1.1975438905008899</v>
      </c>
      <c r="I164">
        <v>1.6322283771505599</v>
      </c>
      <c r="J164">
        <v>0.93176822298426099</v>
      </c>
      <c r="K164">
        <v>1.26744629092295</v>
      </c>
      <c r="L164">
        <v>11547.0447598268</v>
      </c>
      <c r="M164">
        <v>250</v>
      </c>
      <c r="O164">
        <v>46.185211297758997</v>
      </c>
      <c r="P164">
        <v>0.39077814558813001</v>
      </c>
      <c r="Q164">
        <v>1.2887708146166099</v>
      </c>
      <c r="R164">
        <v>0.411835766498372</v>
      </c>
      <c r="S164" t="s">
        <v>1490</v>
      </c>
      <c r="T164" t="s">
        <v>2650</v>
      </c>
      <c r="U164" t="s">
        <v>2650</v>
      </c>
      <c r="V164" t="s">
        <v>2650</v>
      </c>
      <c r="W164" t="s">
        <v>2814</v>
      </c>
      <c r="X164">
        <v>3</v>
      </c>
      <c r="Y164" t="s">
        <v>4134</v>
      </c>
      <c r="Z164" t="s">
        <v>5444</v>
      </c>
      <c r="AA164">
        <v>1.2291818902494109</v>
      </c>
      <c r="AB164" t="str">
        <f>HYPERLINK("Melting_Curves/meltCurve_P00746_CFD.pdf", "Melting_Curves/meltCurve_P00746_CFD.pdf")</f>
        <v>Melting_Curves/meltCurve_P00746_CFD.pdf</v>
      </c>
    </row>
    <row r="165" spans="1:28" x14ac:dyDescent="0.25">
      <c r="A165" t="s">
        <v>169</v>
      </c>
      <c r="B165">
        <v>1</v>
      </c>
      <c r="C165">
        <v>0.82420351980699202</v>
      </c>
      <c r="D165">
        <v>1.2123085539495499</v>
      </c>
      <c r="E165">
        <v>1.4670098873403301</v>
      </c>
      <c r="F165">
        <v>1.14695301897766</v>
      </c>
      <c r="G165">
        <v>1.25140555328178</v>
      </c>
      <c r="H165">
        <v>1.0401309695625001</v>
      </c>
      <c r="I165">
        <v>1.2541628072291799</v>
      </c>
      <c r="J165">
        <v>0.83777437907933605</v>
      </c>
      <c r="K165">
        <v>1.1191866100855199</v>
      </c>
      <c r="L165">
        <v>11130.225708624401</v>
      </c>
      <c r="M165">
        <v>250</v>
      </c>
      <c r="O165">
        <v>44.518071987688998</v>
      </c>
      <c r="P165">
        <v>0.23325164149636701</v>
      </c>
      <c r="Q165">
        <v>1.1661425462099599</v>
      </c>
      <c r="R165">
        <v>0.24891241478356399</v>
      </c>
      <c r="S165" t="s">
        <v>1491</v>
      </c>
      <c r="T165" t="s">
        <v>2650</v>
      </c>
      <c r="U165" t="s">
        <v>2650</v>
      </c>
      <c r="V165" t="s">
        <v>2650</v>
      </c>
      <c r="W165" t="s">
        <v>2815</v>
      </c>
      <c r="X165">
        <v>21</v>
      </c>
      <c r="Y165" t="s">
        <v>4135</v>
      </c>
      <c r="Z165" t="s">
        <v>5445</v>
      </c>
      <c r="AA165">
        <v>1.1410924213096829</v>
      </c>
      <c r="AB165" t="str">
        <f>HYPERLINK("Melting_Curves/meltCurve_P00747_PLG.pdf", "Melting_Curves/meltCurve_P00747_PLG.pdf")</f>
        <v>Melting_Curves/meltCurve_P00747_PLG.pdf</v>
      </c>
    </row>
    <row r="166" spans="1:28" x14ac:dyDescent="0.25">
      <c r="A166" t="s">
        <v>170</v>
      </c>
      <c r="B166">
        <v>1</v>
      </c>
      <c r="C166">
        <v>0.87036151301367104</v>
      </c>
      <c r="D166">
        <v>1.52622663318586</v>
      </c>
      <c r="E166">
        <v>2.2001674040416099</v>
      </c>
      <c r="F166">
        <v>1.76519590258679</v>
      </c>
      <c r="G166">
        <v>1.8565506795806901</v>
      </c>
      <c r="H166">
        <v>1.61690382239228</v>
      </c>
      <c r="I166">
        <v>1.89750488261788</v>
      </c>
      <c r="J166">
        <v>1.3747459045796999</v>
      </c>
      <c r="K166">
        <v>1.70319662003268</v>
      </c>
      <c r="L166">
        <v>11135.8882324153</v>
      </c>
      <c r="M166">
        <v>250</v>
      </c>
      <c r="O166">
        <v>44.540702550924898</v>
      </c>
      <c r="P166">
        <v>0.70160546031619597</v>
      </c>
      <c r="Q166">
        <v>1.5</v>
      </c>
      <c r="R166">
        <v>0.37648416784625999</v>
      </c>
      <c r="S166" t="s">
        <v>1492</v>
      </c>
      <c r="T166" t="s">
        <v>2650</v>
      </c>
      <c r="U166" t="s">
        <v>2650</v>
      </c>
      <c r="V166" t="s">
        <v>2650</v>
      </c>
      <c r="W166" t="s">
        <v>2816</v>
      </c>
      <c r="X166">
        <v>7</v>
      </c>
      <c r="Y166" t="s">
        <v>4136</v>
      </c>
      <c r="Z166" t="s">
        <v>5446</v>
      </c>
      <c r="AA166">
        <v>1.424235031217908</v>
      </c>
      <c r="AB166" t="str">
        <f>HYPERLINK("Melting_Curves/meltCurve_P00748_F12.pdf", "Melting_Curves/meltCurve_P00748_F12.pdf")</f>
        <v>Melting_Curves/meltCurve_P00748_F12.pdf</v>
      </c>
    </row>
    <row r="167" spans="1:28" x14ac:dyDescent="0.25">
      <c r="A167" t="s">
        <v>171</v>
      </c>
      <c r="B167">
        <v>1</v>
      </c>
      <c r="C167">
        <v>0.79728749637365803</v>
      </c>
      <c r="D167">
        <v>1.22882216420075</v>
      </c>
      <c r="E167">
        <v>1.4928923701769701</v>
      </c>
      <c r="F167">
        <v>1.0586016826225699</v>
      </c>
      <c r="G167">
        <v>1.1053814911517299</v>
      </c>
      <c r="H167">
        <v>1.01174934725849</v>
      </c>
      <c r="I167">
        <v>1.1480272700899301</v>
      </c>
      <c r="J167">
        <v>0.70460545401798702</v>
      </c>
      <c r="K167">
        <v>1.0360458369596801</v>
      </c>
      <c r="L167">
        <v>1991.3423458301299</v>
      </c>
      <c r="M167">
        <v>30.381714559686099</v>
      </c>
      <c r="O167">
        <v>65.262097115155299</v>
      </c>
      <c r="P167">
        <v>-1.00237575333581E-2</v>
      </c>
      <c r="Q167">
        <v>0.913873524878138</v>
      </c>
      <c r="R167">
        <v>-5.68846163671115E-2</v>
      </c>
      <c r="S167" t="s">
        <v>1493</v>
      </c>
      <c r="T167" t="s">
        <v>2650</v>
      </c>
      <c r="U167" t="s">
        <v>2650</v>
      </c>
      <c r="V167" t="s">
        <v>2650</v>
      </c>
      <c r="W167" t="s">
        <v>2817</v>
      </c>
      <c r="X167">
        <v>5</v>
      </c>
      <c r="Y167" t="s">
        <v>4137</v>
      </c>
      <c r="Z167" t="s">
        <v>5447</v>
      </c>
      <c r="AA167">
        <v>0.98685672105219757</v>
      </c>
      <c r="AB167" t="str">
        <f>HYPERLINK("Melting_Curves/meltCurve_P00750_3_PLAT.pdf", "Melting_Curves/meltCurve_P00750_3_PLAT.pdf")</f>
        <v>Melting_Curves/meltCurve_P00750_3_PLAT.pdf</v>
      </c>
    </row>
    <row r="168" spans="1:28" x14ac:dyDescent="0.25">
      <c r="A168" t="s">
        <v>172</v>
      </c>
      <c r="B168">
        <v>1</v>
      </c>
      <c r="C168">
        <v>0.84175832982709198</v>
      </c>
      <c r="D168">
        <v>1.24335316864018</v>
      </c>
      <c r="E168">
        <v>1.62539319989581</v>
      </c>
      <c r="F168">
        <v>1.4616417222656299</v>
      </c>
      <c r="G168">
        <v>1.92544729618721</v>
      </c>
      <c r="H168">
        <v>1.7861793993308099</v>
      </c>
      <c r="I168">
        <v>2.2772535112500201</v>
      </c>
      <c r="J168">
        <v>1.5909318587085</v>
      </c>
      <c r="K168">
        <v>2.1069503716615601</v>
      </c>
      <c r="L168">
        <v>11502.446613552</v>
      </c>
      <c r="M168">
        <v>250</v>
      </c>
      <c r="O168">
        <v>46.006842059238103</v>
      </c>
      <c r="P168">
        <v>0.67924679434100399</v>
      </c>
      <c r="Q168">
        <v>1.5</v>
      </c>
      <c r="R168">
        <v>0.33587328161562702</v>
      </c>
      <c r="S168" t="s">
        <v>1494</v>
      </c>
      <c r="T168" t="s">
        <v>2650</v>
      </c>
      <c r="U168" t="s">
        <v>2650</v>
      </c>
      <c r="V168" t="s">
        <v>2650</v>
      </c>
      <c r="W168" t="s">
        <v>2818</v>
      </c>
      <c r="X168">
        <v>20</v>
      </c>
      <c r="Y168" t="s">
        <v>4138</v>
      </c>
      <c r="Z168" t="s">
        <v>5448</v>
      </c>
      <c r="AA168">
        <v>1.3997965192002879</v>
      </c>
      <c r="AB168" t="str">
        <f>HYPERLINK("Melting_Curves/meltCurve_P00751_CFB.pdf", "Melting_Curves/meltCurve_P00751_CFB.pdf")</f>
        <v>Melting_Curves/meltCurve_P00751_CFB.pdf</v>
      </c>
    </row>
    <row r="169" spans="1:28" x14ac:dyDescent="0.25">
      <c r="A169" t="s">
        <v>173</v>
      </c>
      <c r="B169">
        <v>1</v>
      </c>
      <c r="C169">
        <v>0.78496934454206402</v>
      </c>
      <c r="D169">
        <v>1.22090891852601</v>
      </c>
      <c r="E169">
        <v>1.5478161936666499</v>
      </c>
      <c r="F169">
        <v>1.2212881613046001</v>
      </c>
      <c r="G169">
        <v>1.5636179761077</v>
      </c>
      <c r="H169">
        <v>1.9506984387838899</v>
      </c>
      <c r="I169">
        <v>3.3633777890146002</v>
      </c>
      <c r="J169">
        <v>2.3289299032930901</v>
      </c>
      <c r="K169">
        <v>3.3478288350926002</v>
      </c>
      <c r="L169">
        <v>11510.7542380045</v>
      </c>
      <c r="M169">
        <v>250</v>
      </c>
      <c r="O169">
        <v>46.040070292305202</v>
      </c>
      <c r="P169">
        <v>0.678756563452249</v>
      </c>
      <c r="Q169">
        <v>1.5</v>
      </c>
      <c r="R169">
        <v>-4.1571366748401901E-2</v>
      </c>
      <c r="S169" t="s">
        <v>1495</v>
      </c>
      <c r="T169" t="s">
        <v>2650</v>
      </c>
      <c r="U169" t="s">
        <v>2650</v>
      </c>
      <c r="V169" t="s">
        <v>2650</v>
      </c>
      <c r="W169" t="s">
        <v>2819</v>
      </c>
      <c r="X169">
        <v>7</v>
      </c>
      <c r="Y169" t="s">
        <v>4139</v>
      </c>
      <c r="Z169" t="s">
        <v>5449</v>
      </c>
      <c r="AA169">
        <v>1.399242648410618</v>
      </c>
      <c r="AB169" t="str">
        <f>HYPERLINK("Melting_Curves/meltCurve_P00918_CA2.pdf", "Melting_Curves/meltCurve_P00918_CA2.pdf")</f>
        <v>Melting_Curves/meltCurve_P00918_CA2.pdf</v>
      </c>
    </row>
    <row r="170" spans="1:28" x14ac:dyDescent="0.25">
      <c r="A170" t="s">
        <v>174</v>
      </c>
      <c r="B170">
        <v>1</v>
      </c>
      <c r="C170">
        <v>0.96823837590045803</v>
      </c>
      <c r="D170">
        <v>1.1253700065487899</v>
      </c>
      <c r="E170">
        <v>1.4675834970530499</v>
      </c>
      <c r="F170">
        <v>1.17748526522593</v>
      </c>
      <c r="G170">
        <v>1.33778650949574</v>
      </c>
      <c r="H170">
        <v>1.0523248199083199</v>
      </c>
      <c r="I170">
        <v>1.5083169613621501</v>
      </c>
      <c r="J170">
        <v>1.17389652914211</v>
      </c>
      <c r="K170">
        <v>1.4130975769482601</v>
      </c>
      <c r="L170">
        <v>11516.377723201</v>
      </c>
      <c r="M170">
        <v>250</v>
      </c>
      <c r="O170">
        <v>46.062556154296502</v>
      </c>
      <c r="P170">
        <v>0.41296535125239398</v>
      </c>
      <c r="Q170">
        <v>1.30435587992819</v>
      </c>
      <c r="R170">
        <v>0.48658288159708801</v>
      </c>
      <c r="S170" t="s">
        <v>1496</v>
      </c>
      <c r="T170" t="s">
        <v>2650</v>
      </c>
      <c r="U170" t="s">
        <v>2650</v>
      </c>
      <c r="V170" t="s">
        <v>2650</v>
      </c>
      <c r="W170" t="s">
        <v>2820</v>
      </c>
      <c r="X170">
        <v>5</v>
      </c>
      <c r="Y170" t="s">
        <v>4140</v>
      </c>
      <c r="Z170" t="s">
        <v>5450</v>
      </c>
      <c r="AA170">
        <v>1.242795477670807</v>
      </c>
      <c r="AB170" t="str">
        <f>HYPERLINK("Melting_Curves/meltCurve_P00966_ASS1.pdf", "Melting_Curves/meltCurve_P00966_ASS1.pdf")</f>
        <v>Melting_Curves/meltCurve_P00966_ASS1.pdf</v>
      </c>
    </row>
    <row r="171" spans="1:28" x14ac:dyDescent="0.25">
      <c r="A171" t="s">
        <v>175</v>
      </c>
      <c r="B171">
        <v>1</v>
      </c>
      <c r="C171">
        <v>0.88554125432578501</v>
      </c>
      <c r="D171">
        <v>1.2371137150142699</v>
      </c>
      <c r="E171">
        <v>1.5090310242243901</v>
      </c>
      <c r="F171">
        <v>1.2620666626191499</v>
      </c>
      <c r="G171">
        <v>1.3241151114079299</v>
      </c>
      <c r="H171">
        <v>1.1739117236354799</v>
      </c>
      <c r="I171">
        <v>1.4024345819925901</v>
      </c>
      <c r="J171">
        <v>0.96109829397122204</v>
      </c>
      <c r="K171">
        <v>1.2741181470463201</v>
      </c>
      <c r="L171">
        <v>11412.363548002701</v>
      </c>
      <c r="M171">
        <v>250</v>
      </c>
      <c r="O171">
        <v>45.646530272238799</v>
      </c>
      <c r="P171">
        <v>0.37296989234820299</v>
      </c>
      <c r="Q171">
        <v>1.2723965192611499</v>
      </c>
      <c r="R171">
        <v>0.45596135728168402</v>
      </c>
      <c r="S171" t="s">
        <v>1497</v>
      </c>
      <c r="T171" t="s">
        <v>2650</v>
      </c>
      <c r="U171" t="s">
        <v>2650</v>
      </c>
      <c r="V171" t="s">
        <v>2650</v>
      </c>
      <c r="W171" t="s">
        <v>2821</v>
      </c>
      <c r="X171">
        <v>19</v>
      </c>
      <c r="Y171" t="s">
        <v>4141</v>
      </c>
      <c r="Z171" t="s">
        <v>5451</v>
      </c>
      <c r="AA171">
        <v>1.221078307876531</v>
      </c>
      <c r="AB171" t="str">
        <f>HYPERLINK("Melting_Curves/meltCurve_P01008_SERPINC1.pdf", "Melting_Curves/meltCurve_P01008_SERPINC1.pdf")</f>
        <v>Melting_Curves/meltCurve_P01008_SERPINC1.pdf</v>
      </c>
    </row>
    <row r="172" spans="1:28" x14ac:dyDescent="0.25">
      <c r="A172" t="s">
        <v>176</v>
      </c>
      <c r="B172">
        <v>1</v>
      </c>
      <c r="C172">
        <v>0.94384478753928103</v>
      </c>
      <c r="D172">
        <v>1.1756045907910899</v>
      </c>
      <c r="E172">
        <v>1.3708840005465199</v>
      </c>
      <c r="F172">
        <v>1.3469394726055499</v>
      </c>
      <c r="G172">
        <v>1.4143667167645899</v>
      </c>
      <c r="H172">
        <v>1.2361661429157</v>
      </c>
      <c r="I172">
        <v>1.5093592020767901</v>
      </c>
      <c r="J172">
        <v>1.1256660746003599</v>
      </c>
      <c r="K172">
        <v>1.3398346768684199</v>
      </c>
      <c r="L172">
        <v>11495.471450160299</v>
      </c>
      <c r="M172">
        <v>250</v>
      </c>
      <c r="O172">
        <v>45.978943274683601</v>
      </c>
      <c r="P172">
        <v>0.45502511672303703</v>
      </c>
      <c r="Q172">
        <v>1.3347451840225399</v>
      </c>
      <c r="R172">
        <v>0.68747413013751901</v>
      </c>
      <c r="S172" t="s">
        <v>1498</v>
      </c>
      <c r="T172" t="s">
        <v>2650</v>
      </c>
      <c r="U172" t="s">
        <v>2650</v>
      </c>
      <c r="V172" t="s">
        <v>2650</v>
      </c>
      <c r="W172" t="s">
        <v>2822</v>
      </c>
      <c r="X172">
        <v>28</v>
      </c>
      <c r="Y172" t="s">
        <v>4142</v>
      </c>
      <c r="Z172" t="s">
        <v>5452</v>
      </c>
      <c r="AA172">
        <v>1.2679712554871641</v>
      </c>
      <c r="AB172" t="str">
        <f>HYPERLINK("Melting_Curves/meltCurve_P01009_SERPINA1.pdf", "Melting_Curves/meltCurve_P01009_SERPINA1.pdf")</f>
        <v>Melting_Curves/meltCurve_P01009_SERPINA1.pdf</v>
      </c>
    </row>
    <row r="173" spans="1:28" x14ac:dyDescent="0.25">
      <c r="A173" t="s">
        <v>177</v>
      </c>
      <c r="B173">
        <v>1</v>
      </c>
      <c r="C173">
        <v>1.12079100672382</v>
      </c>
      <c r="D173">
        <v>1.2974729528011499</v>
      </c>
      <c r="E173">
        <v>1.33736674548553</v>
      </c>
      <c r="F173">
        <v>1.4711826792248499</v>
      </c>
      <c r="G173">
        <v>1.6952219917834599</v>
      </c>
      <c r="H173">
        <v>1.2715023579609299</v>
      </c>
      <c r="I173">
        <v>1.5921850437906999</v>
      </c>
      <c r="J173">
        <v>1.09668300286654</v>
      </c>
      <c r="K173">
        <v>1.4260049404895601</v>
      </c>
      <c r="L173">
        <v>1201.1160591988901</v>
      </c>
      <c r="M173">
        <v>26.9938863799056</v>
      </c>
      <c r="O173">
        <v>44.253826121694999</v>
      </c>
      <c r="P173">
        <v>6.3656651069564502E-2</v>
      </c>
      <c r="Q173">
        <v>1.4174310123115199</v>
      </c>
      <c r="R173">
        <v>0.45808077499239602</v>
      </c>
      <c r="S173" t="s">
        <v>1499</v>
      </c>
      <c r="T173" t="s">
        <v>2650</v>
      </c>
      <c r="U173" t="s">
        <v>2650</v>
      </c>
      <c r="V173" t="s">
        <v>2650</v>
      </c>
      <c r="W173" t="s">
        <v>2823</v>
      </c>
      <c r="X173">
        <v>14</v>
      </c>
      <c r="Y173" t="s">
        <v>4143</v>
      </c>
      <c r="Z173" t="s">
        <v>5453</v>
      </c>
      <c r="AA173">
        <v>1.35120904327956</v>
      </c>
      <c r="AB173" t="str">
        <f>HYPERLINK("Melting_Curves/meltCurve_P01011_SERPINA3.pdf", "Melting_Curves/meltCurve_P01011_SERPINA3.pdf")</f>
        <v>Melting_Curves/meltCurve_P01011_SERPINA3.pdf</v>
      </c>
    </row>
    <row r="174" spans="1:28" x14ac:dyDescent="0.25">
      <c r="A174" t="s">
        <v>178</v>
      </c>
      <c r="B174">
        <v>1</v>
      </c>
      <c r="C174">
        <v>0.86691812596648099</v>
      </c>
      <c r="D174">
        <v>1.6636017887741901</v>
      </c>
      <c r="E174">
        <v>3.1888661344924101</v>
      </c>
      <c r="F174">
        <v>2.69841601538011</v>
      </c>
      <c r="G174">
        <v>2.7846157061060701</v>
      </c>
      <c r="H174">
        <v>2.7570318050737699</v>
      </c>
      <c r="I174">
        <v>3.4367033058887499</v>
      </c>
      <c r="J174">
        <v>1.9632632590796999</v>
      </c>
      <c r="K174">
        <v>3.02200443014168</v>
      </c>
      <c r="L174">
        <v>11095.9543964441</v>
      </c>
      <c r="M174">
        <v>250</v>
      </c>
      <c r="O174">
        <v>44.380977410424698</v>
      </c>
      <c r="P174">
        <v>0.70413050650581999</v>
      </c>
      <c r="Q174">
        <v>1.5</v>
      </c>
      <c r="R174">
        <v>-0.85755480613061597</v>
      </c>
      <c r="S174" t="s">
        <v>1500</v>
      </c>
      <c r="T174" t="s">
        <v>2650</v>
      </c>
      <c r="U174" t="s">
        <v>2650</v>
      </c>
      <c r="V174" t="s">
        <v>2650</v>
      </c>
      <c r="W174" t="s">
        <v>2824</v>
      </c>
      <c r="X174">
        <v>5</v>
      </c>
      <c r="Y174" t="s">
        <v>4144</v>
      </c>
      <c r="Z174" t="s">
        <v>5454</v>
      </c>
      <c r="AA174">
        <v>1.426897427115841</v>
      </c>
      <c r="AB174" t="str">
        <f>HYPERLINK("Melting_Curves/meltCurve_P01019_AGT.pdf", "Melting_Curves/meltCurve_P01019_AGT.pdf")</f>
        <v>Melting_Curves/meltCurve_P01019_AGT.pdf</v>
      </c>
    </row>
    <row r="175" spans="1:28" x14ac:dyDescent="0.25">
      <c r="A175" t="s">
        <v>179</v>
      </c>
      <c r="B175">
        <v>1</v>
      </c>
      <c r="C175">
        <v>0.83010324216627396</v>
      </c>
      <c r="D175">
        <v>1.19062066050836</v>
      </c>
      <c r="E175">
        <v>1.56433013342993</v>
      </c>
      <c r="F175">
        <v>1.4913512044919399</v>
      </c>
      <c r="G175">
        <v>1.81790738392803</v>
      </c>
      <c r="H175">
        <v>1.69232626939564</v>
      </c>
      <c r="I175">
        <v>2.1335204974944202</v>
      </c>
      <c r="J175">
        <v>1.59240475759222</v>
      </c>
      <c r="K175">
        <v>1.9724687556602101</v>
      </c>
      <c r="L175">
        <v>11522.2770100093</v>
      </c>
      <c r="M175">
        <v>250</v>
      </c>
      <c r="O175">
        <v>46.086154930515903</v>
      </c>
      <c r="P175">
        <v>0.67807777766070598</v>
      </c>
      <c r="Q175">
        <v>1.5</v>
      </c>
      <c r="R175">
        <v>0.485030036591243</v>
      </c>
      <c r="S175" t="s">
        <v>1501</v>
      </c>
      <c r="T175" t="s">
        <v>2650</v>
      </c>
      <c r="U175" t="s">
        <v>2650</v>
      </c>
      <c r="V175" t="s">
        <v>2650</v>
      </c>
      <c r="W175" t="s">
        <v>2825</v>
      </c>
      <c r="X175">
        <v>44</v>
      </c>
      <c r="Y175" t="s">
        <v>4145</v>
      </c>
      <c r="Z175" t="s">
        <v>5455</v>
      </c>
      <c r="AA175">
        <v>1.3984744231657269</v>
      </c>
      <c r="AB175" t="str">
        <f>HYPERLINK("Melting_Curves/meltCurve_P01024_C3.pdf", "Melting_Curves/meltCurve_P01024_C3.pdf")</f>
        <v>Melting_Curves/meltCurve_P01024_C3.pdf</v>
      </c>
    </row>
    <row r="176" spans="1:28" x14ac:dyDescent="0.25">
      <c r="A176" t="s">
        <v>180</v>
      </c>
      <c r="B176">
        <v>1</v>
      </c>
      <c r="C176">
        <v>0.81879223152437197</v>
      </c>
      <c r="D176">
        <v>1.1077302282096</v>
      </c>
      <c r="E176">
        <v>1.2970124516595101</v>
      </c>
      <c r="F176">
        <v>1.3216607878968201</v>
      </c>
      <c r="G176">
        <v>1.28643066593005</v>
      </c>
      <c r="H176">
        <v>1.3438867876418299</v>
      </c>
      <c r="I176">
        <v>1.52602949300922</v>
      </c>
      <c r="J176">
        <v>1.17321830776423</v>
      </c>
      <c r="K176">
        <v>1.3366622752964199</v>
      </c>
      <c r="L176">
        <v>11532.5679265824</v>
      </c>
      <c r="M176">
        <v>250</v>
      </c>
      <c r="O176">
        <v>46.127320672603098</v>
      </c>
      <c r="P176">
        <v>0.44227368742422801</v>
      </c>
      <c r="Q176">
        <v>1.3264143958376799</v>
      </c>
      <c r="R176">
        <v>0.73043779378690299</v>
      </c>
      <c r="S176" t="s">
        <v>1502</v>
      </c>
      <c r="T176" t="s">
        <v>2650</v>
      </c>
      <c r="U176" t="s">
        <v>2650</v>
      </c>
      <c r="V176" t="s">
        <v>2650</v>
      </c>
      <c r="W176" t="s">
        <v>2826</v>
      </c>
      <c r="X176">
        <v>1</v>
      </c>
      <c r="Y176" t="s">
        <v>4146</v>
      </c>
      <c r="Z176" t="s">
        <v>5456</v>
      </c>
      <c r="AA176">
        <v>1.259687672166012</v>
      </c>
      <c r="AB176" t="str">
        <f>HYPERLINK("Melting_Curves/meltCurve_P01031_C5.pdf", "Melting_Curves/meltCurve_P01031_C5.pdf")</f>
        <v>Melting_Curves/meltCurve_P01031_C5.pdf</v>
      </c>
    </row>
    <row r="177" spans="1:28" x14ac:dyDescent="0.25">
      <c r="A177" t="s">
        <v>181</v>
      </c>
      <c r="B177">
        <v>1</v>
      </c>
      <c r="C177">
        <v>0.79725182277061102</v>
      </c>
      <c r="D177">
        <v>1.21043185642176</v>
      </c>
      <c r="E177">
        <v>1.4240044868199699</v>
      </c>
      <c r="F177">
        <v>1.02652832305104</v>
      </c>
      <c r="G177">
        <v>1.1046550757150899</v>
      </c>
      <c r="H177">
        <v>1.1087492989343799</v>
      </c>
      <c r="I177">
        <v>1.24223219293326</v>
      </c>
      <c r="J177">
        <v>0.77593942793045401</v>
      </c>
      <c r="K177">
        <v>1.0938306225462699</v>
      </c>
      <c r="L177">
        <v>11119.2323663384</v>
      </c>
      <c r="M177">
        <v>250</v>
      </c>
      <c r="O177">
        <v>44.474090342009198</v>
      </c>
      <c r="P177">
        <v>0.17313418416777601</v>
      </c>
      <c r="Q177">
        <v>1.12319974578983</v>
      </c>
      <c r="R177">
        <v>0.174525797608167</v>
      </c>
      <c r="S177" t="s">
        <v>1503</v>
      </c>
      <c r="T177" t="s">
        <v>2650</v>
      </c>
      <c r="U177" t="s">
        <v>2650</v>
      </c>
      <c r="V177" t="s">
        <v>2650</v>
      </c>
      <c r="W177" t="s">
        <v>2827</v>
      </c>
      <c r="X177">
        <v>13</v>
      </c>
      <c r="Y177" t="s">
        <v>4147</v>
      </c>
      <c r="Z177" t="s">
        <v>5457</v>
      </c>
      <c r="AA177">
        <v>1.104804910202819</v>
      </c>
      <c r="AB177" t="str">
        <f>HYPERLINK("Melting_Curves/meltCurve_P01033_TIMP1.pdf", "Melting_Curves/meltCurve_P01033_TIMP1.pdf")</f>
        <v>Melting_Curves/meltCurve_P01033_TIMP1.pdf</v>
      </c>
    </row>
    <row r="178" spans="1:28" x14ac:dyDescent="0.25">
      <c r="A178" t="s">
        <v>182</v>
      </c>
      <c r="B178">
        <v>1</v>
      </c>
      <c r="C178">
        <v>0.77459707230519004</v>
      </c>
      <c r="D178">
        <v>1.1269850657992</v>
      </c>
      <c r="E178">
        <v>1.2430873872541801</v>
      </c>
      <c r="F178">
        <v>0.96832766523732094</v>
      </c>
      <c r="G178">
        <v>0.98284784858790497</v>
      </c>
      <c r="H178">
        <v>0.97116664202277103</v>
      </c>
      <c r="I178">
        <v>1.0217359160135999</v>
      </c>
      <c r="J178">
        <v>0.69046281236137796</v>
      </c>
      <c r="K178">
        <v>0.92526985065799205</v>
      </c>
      <c r="L178">
        <v>15000</v>
      </c>
      <c r="M178">
        <v>229.933601435962</v>
      </c>
      <c r="O178">
        <v>65.231266994085701</v>
      </c>
      <c r="P178">
        <v>-0.16926656765339801</v>
      </c>
      <c r="Q178">
        <v>0.80791887103914495</v>
      </c>
      <c r="R178">
        <v>0.29323313212436503</v>
      </c>
      <c r="S178" t="s">
        <v>1504</v>
      </c>
      <c r="T178" t="s">
        <v>2650</v>
      </c>
      <c r="U178" t="s">
        <v>2650</v>
      </c>
      <c r="V178" t="s">
        <v>2650</v>
      </c>
      <c r="W178" t="s">
        <v>2828</v>
      </c>
      <c r="X178">
        <v>13</v>
      </c>
      <c r="Y178" t="s">
        <v>4148</v>
      </c>
      <c r="Z178" t="s">
        <v>5458</v>
      </c>
      <c r="AA178">
        <v>0.96952495055176269</v>
      </c>
      <c r="AB178" t="str">
        <f>HYPERLINK("Melting_Curves/meltCurve_P01034_CST3.pdf", "Melting_Curves/meltCurve_P01034_CST3.pdf")</f>
        <v>Melting_Curves/meltCurve_P01034_CST3.pdf</v>
      </c>
    </row>
    <row r="179" spans="1:28" x14ac:dyDescent="0.25">
      <c r="A179" t="s">
        <v>183</v>
      </c>
      <c r="B179">
        <v>1</v>
      </c>
      <c r="C179">
        <v>0.85707046535852005</v>
      </c>
      <c r="D179">
        <v>1.06466597224177</v>
      </c>
      <c r="E179">
        <v>1.1347653500746</v>
      </c>
      <c r="F179">
        <v>0.98260184116438198</v>
      </c>
      <c r="G179">
        <v>0.99048450212550299</v>
      </c>
      <c r="H179">
        <v>0.93910644407533606</v>
      </c>
      <c r="I179">
        <v>1.0163283691337499</v>
      </c>
      <c r="J179">
        <v>0.72131978266377605</v>
      </c>
      <c r="K179">
        <v>0.94000731961374995</v>
      </c>
      <c r="L179">
        <v>15000</v>
      </c>
      <c r="M179">
        <v>230.028924356602</v>
      </c>
      <c r="O179">
        <v>65.204261804399096</v>
      </c>
      <c r="P179">
        <v>-0.149298817581172</v>
      </c>
      <c r="Q179">
        <v>0.83071834637520703</v>
      </c>
      <c r="R179">
        <v>0.385592908621884</v>
      </c>
      <c r="S179" t="s">
        <v>1505</v>
      </c>
      <c r="T179" t="s">
        <v>2650</v>
      </c>
      <c r="U179" t="s">
        <v>2650</v>
      </c>
      <c r="V179" t="s">
        <v>2650</v>
      </c>
      <c r="W179" t="s">
        <v>2829</v>
      </c>
      <c r="X179">
        <v>12</v>
      </c>
      <c r="Y179" t="s">
        <v>4149</v>
      </c>
      <c r="Z179" t="s">
        <v>5459</v>
      </c>
      <c r="AA179">
        <v>0.97298967944609871</v>
      </c>
      <c r="AB179" t="str">
        <f>HYPERLINK("Melting_Curves/meltCurve_P01036_CST4.pdf", "Melting_Curves/meltCurve_P01036_CST4.pdf")</f>
        <v>Melting_Curves/meltCurve_P01036_CST4.pdf</v>
      </c>
    </row>
    <row r="180" spans="1:28" x14ac:dyDescent="0.25">
      <c r="A180" t="s">
        <v>184</v>
      </c>
      <c r="B180">
        <v>1</v>
      </c>
      <c r="C180">
        <v>0.80942842246796398</v>
      </c>
      <c r="D180">
        <v>1.0765579123562801</v>
      </c>
      <c r="E180">
        <v>1.1871690036495299</v>
      </c>
      <c r="F180">
        <v>0.97277940893998804</v>
      </c>
      <c r="G180">
        <v>0.97151716379002795</v>
      </c>
      <c r="H180">
        <v>0.90727986170183605</v>
      </c>
      <c r="I180">
        <v>1.03841615673792</v>
      </c>
      <c r="J180">
        <v>0.704332793677798</v>
      </c>
      <c r="K180">
        <v>0.92580193727190396</v>
      </c>
      <c r="L180">
        <v>15000</v>
      </c>
      <c r="M180">
        <v>229.64497645705299</v>
      </c>
      <c r="O180">
        <v>65.313261411098395</v>
      </c>
      <c r="P180">
        <v>-0.16250542037252899</v>
      </c>
      <c r="Q180">
        <v>0.81512752122124599</v>
      </c>
      <c r="R180">
        <v>0.31233138913867298</v>
      </c>
      <c r="S180" t="s">
        <v>1506</v>
      </c>
      <c r="T180" t="s">
        <v>2650</v>
      </c>
      <c r="U180" t="s">
        <v>2650</v>
      </c>
      <c r="V180" t="s">
        <v>2650</v>
      </c>
      <c r="W180" t="s">
        <v>2830</v>
      </c>
      <c r="X180">
        <v>9</v>
      </c>
      <c r="Y180" t="s">
        <v>4150</v>
      </c>
      <c r="Z180" t="s">
        <v>5460</v>
      </c>
      <c r="AA180">
        <v>0.97117401118383861</v>
      </c>
      <c r="AB180" t="str">
        <f>HYPERLINK("Melting_Curves/meltCurve_P01037_CST1.pdf", "Melting_Curves/meltCurve_P01037_CST1.pdf")</f>
        <v>Melting_Curves/meltCurve_P01037_CST1.pdf</v>
      </c>
    </row>
    <row r="181" spans="1:28" x14ac:dyDescent="0.25">
      <c r="A181" t="s">
        <v>185</v>
      </c>
      <c r="B181">
        <v>1</v>
      </c>
      <c r="C181">
        <v>0.92505347521186998</v>
      </c>
      <c r="D181">
        <v>1.28354046516665</v>
      </c>
      <c r="E181">
        <v>1.28302602009043</v>
      </c>
      <c r="F181">
        <v>1.2851921046218799</v>
      </c>
      <c r="G181">
        <v>1.1383857255029399</v>
      </c>
      <c r="H181">
        <v>1.1063818265507801</v>
      </c>
      <c r="I181">
        <v>1.2652370508759101</v>
      </c>
      <c r="J181">
        <v>0.910026263774944</v>
      </c>
      <c r="K181">
        <v>1.114558795657</v>
      </c>
      <c r="L181">
        <v>11091.9713337262</v>
      </c>
      <c r="M181">
        <v>250</v>
      </c>
      <c r="O181">
        <v>44.365027229203903</v>
      </c>
      <c r="P181">
        <v>0.24413466067247699</v>
      </c>
      <c r="Q181">
        <v>1.1732967278315201</v>
      </c>
      <c r="R181">
        <v>0.34558872262263901</v>
      </c>
      <c r="S181" t="s">
        <v>1507</v>
      </c>
      <c r="T181" t="s">
        <v>2650</v>
      </c>
      <c r="U181" t="s">
        <v>2650</v>
      </c>
      <c r="V181" t="s">
        <v>2650</v>
      </c>
      <c r="W181" t="s">
        <v>2831</v>
      </c>
      <c r="X181">
        <v>1</v>
      </c>
      <c r="Y181" t="s">
        <v>4151</v>
      </c>
      <c r="Z181" t="s">
        <v>5461</v>
      </c>
      <c r="AA181">
        <v>1.1480518928880541</v>
      </c>
      <c r="AB181" t="str">
        <f>HYPERLINK("Melting_Curves/meltCurve_P01040_CSTA.pdf", "Melting_Curves/meltCurve_P01040_CSTA.pdf")</f>
        <v>Melting_Curves/meltCurve_P01040_CSTA.pdf</v>
      </c>
    </row>
    <row r="182" spans="1:28" x14ac:dyDescent="0.25">
      <c r="A182" t="s">
        <v>186</v>
      </c>
      <c r="B182">
        <v>1</v>
      </c>
      <c r="C182">
        <v>0.84779862355048596</v>
      </c>
      <c r="D182">
        <v>1.1516922786838899</v>
      </c>
      <c r="E182">
        <v>1.2952767040633499</v>
      </c>
      <c r="F182">
        <v>1.00518525502027</v>
      </c>
      <c r="G182">
        <v>1.04393325162628</v>
      </c>
      <c r="H182">
        <v>0.95314415008956399</v>
      </c>
      <c r="I182">
        <v>1.08937494107665</v>
      </c>
      <c r="J182">
        <v>0.77304610163099796</v>
      </c>
      <c r="K182">
        <v>0.97124540397850501</v>
      </c>
      <c r="L182">
        <v>15000</v>
      </c>
      <c r="M182">
        <v>229.17990869141599</v>
      </c>
      <c r="O182">
        <v>65.445757470010804</v>
      </c>
      <c r="P182">
        <v>-0.111773976534566</v>
      </c>
      <c r="Q182">
        <v>0.87232502056191996</v>
      </c>
      <c r="R182">
        <v>0.15669345228093101</v>
      </c>
      <c r="S182" t="s">
        <v>1508</v>
      </c>
      <c r="T182" t="s">
        <v>2650</v>
      </c>
      <c r="U182" t="s">
        <v>2650</v>
      </c>
      <c r="V182" t="s">
        <v>2650</v>
      </c>
      <c r="W182" t="s">
        <v>2832</v>
      </c>
      <c r="X182">
        <v>14</v>
      </c>
      <c r="Y182" t="s">
        <v>4152</v>
      </c>
      <c r="Z182" t="s">
        <v>5462</v>
      </c>
      <c r="AA182">
        <v>0.98065666200195445</v>
      </c>
      <c r="AB182" t="str">
        <f>HYPERLINK("Melting_Curves/meltCurve_P01042_2_KNG1.pdf", "Melting_Curves/meltCurve_P01042_2_KNG1.pdf")</f>
        <v>Melting_Curves/meltCurve_P01042_2_KNG1.pdf</v>
      </c>
    </row>
    <row r="183" spans="1:28" x14ac:dyDescent="0.25">
      <c r="A183" t="s">
        <v>187</v>
      </c>
      <c r="B183">
        <v>1</v>
      </c>
      <c r="C183">
        <v>0.88284379172229599</v>
      </c>
      <c r="D183">
        <v>1.09123993281364</v>
      </c>
      <c r="E183">
        <v>1.1745768551617199</v>
      </c>
      <c r="F183">
        <v>1.0406240578836301</v>
      </c>
      <c r="G183">
        <v>0.98337568370730899</v>
      </c>
      <c r="H183">
        <v>0.91944097506352596</v>
      </c>
      <c r="I183">
        <v>0.98567983117274605</v>
      </c>
      <c r="J183">
        <v>0.73428011542271399</v>
      </c>
      <c r="K183">
        <v>0.92184202592704301</v>
      </c>
      <c r="L183">
        <v>15000</v>
      </c>
      <c r="M183">
        <v>232.00342828001899</v>
      </c>
      <c r="O183">
        <v>64.649413051082306</v>
      </c>
      <c r="P183">
        <v>-0.15425344669577601</v>
      </c>
      <c r="Q183">
        <v>0.82806470023947198</v>
      </c>
      <c r="R183">
        <v>0.39944255688804903</v>
      </c>
      <c r="S183" t="s">
        <v>1509</v>
      </c>
      <c r="T183" t="s">
        <v>2650</v>
      </c>
      <c r="U183" t="s">
        <v>2650</v>
      </c>
      <c r="V183" t="s">
        <v>2650</v>
      </c>
      <c r="W183" t="s">
        <v>2833</v>
      </c>
      <c r="X183">
        <v>1</v>
      </c>
      <c r="Y183" t="s">
        <v>4153</v>
      </c>
      <c r="Z183" t="s">
        <v>5463</v>
      </c>
      <c r="AA183">
        <v>0.96938502713227548</v>
      </c>
      <c r="AB183" t="str">
        <f>HYPERLINK("Melting_Curves/meltCurve_P01112_2_HRAS.pdf", "Melting_Curves/meltCurve_P01112_2_HRAS.pdf")</f>
        <v>Melting_Curves/meltCurve_P01112_2_HRAS.pdf</v>
      </c>
    </row>
    <row r="184" spans="1:28" x14ac:dyDescent="0.25">
      <c r="A184" t="s">
        <v>188</v>
      </c>
      <c r="B184">
        <v>1</v>
      </c>
      <c r="C184">
        <v>0.79210526315789498</v>
      </c>
      <c r="D184">
        <v>1.0412907268170399</v>
      </c>
      <c r="E184">
        <v>1.33421052631579</v>
      </c>
      <c r="F184">
        <v>1.0632205513784501</v>
      </c>
      <c r="G184">
        <v>1.09548872180451</v>
      </c>
      <c r="H184">
        <v>0.90789473684210498</v>
      </c>
      <c r="I184">
        <v>1.0693609022556401</v>
      </c>
      <c r="J184">
        <v>0.70720551378446095</v>
      </c>
      <c r="K184">
        <v>0.97268170426065204</v>
      </c>
      <c r="L184">
        <v>15000</v>
      </c>
      <c r="M184">
        <v>229.450612451789</v>
      </c>
      <c r="O184">
        <v>65.368581600100597</v>
      </c>
      <c r="P184">
        <v>-0.14027433333443901</v>
      </c>
      <c r="Q184">
        <v>0.84014801743390999</v>
      </c>
      <c r="R184">
        <v>0.18882998941309601</v>
      </c>
      <c r="S184" t="s">
        <v>1510</v>
      </c>
      <c r="T184" t="s">
        <v>2650</v>
      </c>
      <c r="U184" t="s">
        <v>2650</v>
      </c>
      <c r="V184" t="s">
        <v>2650</v>
      </c>
      <c r="W184" t="s">
        <v>2834</v>
      </c>
      <c r="X184">
        <v>2</v>
      </c>
      <c r="Y184" t="s">
        <v>4154</v>
      </c>
      <c r="Z184" t="s">
        <v>5464</v>
      </c>
      <c r="AA184">
        <v>0.97537017357167566</v>
      </c>
      <c r="AB184" t="str">
        <f>HYPERLINK("Melting_Curves/meltCurve_P01127_2_PDGFB.pdf", "Melting_Curves/meltCurve_P01127_2_PDGFB.pdf")</f>
        <v>Melting_Curves/meltCurve_P01127_2_PDGFB.pdf</v>
      </c>
    </row>
    <row r="185" spans="1:28" x14ac:dyDescent="0.25">
      <c r="A185" t="s">
        <v>189</v>
      </c>
      <c r="B185">
        <v>1</v>
      </c>
      <c r="C185">
        <v>0.836775408758066</v>
      </c>
      <c r="D185">
        <v>1.2049307312506301</v>
      </c>
      <c r="E185">
        <v>1.4276161073526299</v>
      </c>
      <c r="F185">
        <v>1.0740947137300401</v>
      </c>
      <c r="G185">
        <v>1.14240495748024</v>
      </c>
      <c r="H185">
        <v>1.03774951796083</v>
      </c>
      <c r="I185">
        <v>1.1373895210815499</v>
      </c>
      <c r="J185">
        <v>0.77636726368935505</v>
      </c>
      <c r="K185">
        <v>1.0593381853036601</v>
      </c>
      <c r="L185">
        <v>11112.0075301913</v>
      </c>
      <c r="M185">
        <v>250</v>
      </c>
      <c r="O185">
        <v>44.445185712216102</v>
      </c>
      <c r="P185">
        <v>0.15116601357463699</v>
      </c>
      <c r="Q185">
        <v>1.1074976246924</v>
      </c>
      <c r="R185">
        <v>0.14503890828646601</v>
      </c>
      <c r="S185" t="s">
        <v>1511</v>
      </c>
      <c r="T185" t="s">
        <v>2650</v>
      </c>
      <c r="U185" t="s">
        <v>2650</v>
      </c>
      <c r="V185" t="s">
        <v>2650</v>
      </c>
      <c r="W185" t="s">
        <v>2835</v>
      </c>
      <c r="X185">
        <v>6</v>
      </c>
      <c r="Y185" t="s">
        <v>4155</v>
      </c>
      <c r="Z185" t="s">
        <v>5465</v>
      </c>
      <c r="AA185">
        <v>1.091550816857485</v>
      </c>
      <c r="AB185" t="str">
        <f>HYPERLINK("Melting_Curves/meltCurve_P01130_3_LDLR.pdf", "Melting_Curves/meltCurve_P01130_3_LDLR.pdf")</f>
        <v>Melting_Curves/meltCurve_P01130_3_LDLR.pdf</v>
      </c>
    </row>
    <row r="186" spans="1:28" x14ac:dyDescent="0.25">
      <c r="A186" t="s">
        <v>190</v>
      </c>
      <c r="B186">
        <v>1</v>
      </c>
      <c r="C186">
        <v>0.79767071361863395</v>
      </c>
      <c r="D186">
        <v>1.1733230786134199</v>
      </c>
      <c r="E186">
        <v>1.5192001318463999</v>
      </c>
      <c r="F186">
        <v>1.09502829203977</v>
      </c>
      <c r="G186">
        <v>1.18848541449212</v>
      </c>
      <c r="H186">
        <v>1.03551063011591</v>
      </c>
      <c r="I186">
        <v>1.3447233972422099</v>
      </c>
      <c r="J186">
        <v>0.867032906663737</v>
      </c>
      <c r="K186">
        <v>1.21375597428995</v>
      </c>
      <c r="L186">
        <v>11353.757311789301</v>
      </c>
      <c r="M186">
        <v>250</v>
      </c>
      <c r="O186">
        <v>45.412106341445501</v>
      </c>
      <c r="P186">
        <v>0.24846633783097599</v>
      </c>
      <c r="Q186">
        <v>1.1805341424332401</v>
      </c>
      <c r="R186">
        <v>0.254093489667225</v>
      </c>
      <c r="S186" t="s">
        <v>1512</v>
      </c>
      <c r="T186" t="s">
        <v>2650</v>
      </c>
      <c r="U186" t="s">
        <v>2650</v>
      </c>
      <c r="V186" t="s">
        <v>2650</v>
      </c>
      <c r="W186" t="s">
        <v>2836</v>
      </c>
      <c r="X186">
        <v>8</v>
      </c>
      <c r="Y186" t="s">
        <v>4156</v>
      </c>
      <c r="Z186" t="s">
        <v>5466</v>
      </c>
      <c r="AA186">
        <v>1.1479331646672679</v>
      </c>
      <c r="AB186" t="str">
        <f>HYPERLINK("Melting_Curves/meltCurve_P01137_TGFB1.pdf", "Melting_Curves/meltCurve_P01137_TGFB1.pdf")</f>
        <v>Melting_Curves/meltCurve_P01137_TGFB1.pdf</v>
      </c>
    </row>
    <row r="187" spans="1:28" x14ac:dyDescent="0.25">
      <c r="A187" t="s">
        <v>191</v>
      </c>
      <c r="B187">
        <v>1</v>
      </c>
      <c r="C187">
        <v>0.89538120346692596</v>
      </c>
      <c r="D187">
        <v>1.05623571477064</v>
      </c>
      <c r="E187">
        <v>1.1370476815497099</v>
      </c>
      <c r="F187">
        <v>0.93482540903844802</v>
      </c>
      <c r="G187">
        <v>0.96021634343388595</v>
      </c>
      <c r="H187">
        <v>0.93380705605467396</v>
      </c>
      <c r="I187">
        <v>1.01681413926543</v>
      </c>
      <c r="J187">
        <v>0.70250514834008504</v>
      </c>
      <c r="K187">
        <v>0.91045282762678503</v>
      </c>
      <c r="L187">
        <v>15000</v>
      </c>
      <c r="M187">
        <v>229.985065000699</v>
      </c>
      <c r="O187">
        <v>65.216694740735207</v>
      </c>
      <c r="P187">
        <v>-0.170595684596414</v>
      </c>
      <c r="Q187">
        <v>0.80649723205359403</v>
      </c>
      <c r="R187">
        <v>0.45414986310662803</v>
      </c>
      <c r="S187" t="s">
        <v>1513</v>
      </c>
      <c r="T187" t="s">
        <v>2650</v>
      </c>
      <c r="U187" t="s">
        <v>2650</v>
      </c>
      <c r="V187" t="s">
        <v>2650</v>
      </c>
      <c r="W187" t="s">
        <v>2837</v>
      </c>
      <c r="X187">
        <v>2</v>
      </c>
      <c r="Y187" t="s">
        <v>4157</v>
      </c>
      <c r="Z187" t="s">
        <v>5467</v>
      </c>
      <c r="AA187">
        <v>0.96920522224919303</v>
      </c>
      <c r="AB187" t="str">
        <f>HYPERLINK("Melting_Curves/meltCurve_P01303_NPY.pdf", "Melting_Curves/meltCurve_P01303_NPY.pdf")</f>
        <v>Melting_Curves/meltCurve_P01303_NPY.pdf</v>
      </c>
    </row>
    <row r="188" spans="1:28" x14ac:dyDescent="0.25">
      <c r="A188" t="s">
        <v>192</v>
      </c>
      <c r="B188">
        <v>1</v>
      </c>
      <c r="C188">
        <v>0.70013826477704799</v>
      </c>
      <c r="D188">
        <v>1.07963667089142</v>
      </c>
      <c r="E188">
        <v>1.2421553942466499</v>
      </c>
      <c r="F188">
        <v>0.95961516303721595</v>
      </c>
      <c r="G188">
        <v>1.0137688673810299</v>
      </c>
      <c r="H188">
        <v>0.90175519453085995</v>
      </c>
      <c r="I188">
        <v>1.0730882974228999</v>
      </c>
      <c r="J188">
        <v>0.69744978300111404</v>
      </c>
      <c r="K188">
        <v>0.92712294043092502</v>
      </c>
      <c r="L188">
        <v>7151.92638442526</v>
      </c>
      <c r="M188">
        <v>109.440171194157</v>
      </c>
      <c r="O188">
        <v>65.328290395033903</v>
      </c>
      <c r="P188">
        <v>-7.7709299592603601E-2</v>
      </c>
      <c r="Q188">
        <v>0.81445148052115701</v>
      </c>
      <c r="R188">
        <v>0.19221630715919999</v>
      </c>
      <c r="S188" t="s">
        <v>1514</v>
      </c>
      <c r="T188" t="s">
        <v>2650</v>
      </c>
      <c r="U188" t="s">
        <v>2650</v>
      </c>
      <c r="V188" t="s">
        <v>2650</v>
      </c>
      <c r="W188" t="s">
        <v>2838</v>
      </c>
      <c r="X188">
        <v>1</v>
      </c>
      <c r="Y188" t="s">
        <v>4158</v>
      </c>
      <c r="Z188" t="s">
        <v>5468</v>
      </c>
      <c r="AA188">
        <v>0.97134875341862881</v>
      </c>
      <c r="AB188" t="str">
        <f>HYPERLINK("Melting_Curves/meltCurve_P01344_IGF2.pdf", "Melting_Curves/meltCurve_P01344_IGF2.pdf")</f>
        <v>Melting_Curves/meltCurve_P01344_IGF2.pdf</v>
      </c>
    </row>
    <row r="189" spans="1:28" x14ac:dyDescent="0.25">
      <c r="A189" t="s">
        <v>193</v>
      </c>
      <c r="B189">
        <v>1</v>
      </c>
      <c r="C189">
        <v>0.84826526130874003</v>
      </c>
      <c r="D189">
        <v>0.94620114185331605</v>
      </c>
      <c r="E189">
        <v>1.0080808080808099</v>
      </c>
      <c r="F189">
        <v>1.04901185770751</v>
      </c>
      <c r="G189">
        <v>1.10777338603426</v>
      </c>
      <c r="H189">
        <v>0.86249451032059699</v>
      </c>
      <c r="I189">
        <v>0.90474308300395301</v>
      </c>
      <c r="J189">
        <v>0.82538427755819099</v>
      </c>
      <c r="K189">
        <v>0.88937198067632794</v>
      </c>
      <c r="L189">
        <v>7767.1322972938597</v>
      </c>
      <c r="M189">
        <v>130.62662992297601</v>
      </c>
      <c r="O189">
        <v>59.446624797992897</v>
      </c>
      <c r="P189">
        <v>-7.1672731321959504E-2</v>
      </c>
      <c r="Q189">
        <v>0.86953037443912096</v>
      </c>
      <c r="R189">
        <v>0.44882007994834999</v>
      </c>
      <c r="S189" t="s">
        <v>1515</v>
      </c>
      <c r="T189" t="s">
        <v>2650</v>
      </c>
      <c r="U189" t="s">
        <v>2650</v>
      </c>
      <c r="V189" t="s">
        <v>2650</v>
      </c>
      <c r="W189" t="s">
        <v>2839</v>
      </c>
      <c r="X189">
        <v>2</v>
      </c>
      <c r="Y189" t="s">
        <v>4159</v>
      </c>
      <c r="Z189" t="s">
        <v>5469</v>
      </c>
      <c r="AA189">
        <v>0.95421399616892832</v>
      </c>
      <c r="AB189" t="str">
        <f>HYPERLINK("Melting_Curves/meltCurve_P01591_JCHAIN.pdf", "Melting_Curves/meltCurve_P01591_JCHAIN.pdf")</f>
        <v>Melting_Curves/meltCurve_P01591_JCHAIN.pdf</v>
      </c>
    </row>
    <row r="190" spans="1:28" x14ac:dyDescent="0.25">
      <c r="A190" t="s">
        <v>194</v>
      </c>
      <c r="B190">
        <v>1</v>
      </c>
      <c r="C190">
        <v>1.14263589902431</v>
      </c>
      <c r="D190">
        <v>1.2763033775888</v>
      </c>
      <c r="E190">
        <v>1.56419389809509</v>
      </c>
      <c r="F190">
        <v>1.41974178833401</v>
      </c>
      <c r="G190">
        <v>1.40890084052543</v>
      </c>
      <c r="H190">
        <v>1.2620411956016699</v>
      </c>
      <c r="I190">
        <v>1.60389710954989</v>
      </c>
      <c r="J190">
        <v>1.0900784208822001</v>
      </c>
      <c r="K190">
        <v>1.3563715206893201</v>
      </c>
      <c r="L190">
        <v>1516.0070733028101</v>
      </c>
      <c r="M190">
        <v>34.6134795492626</v>
      </c>
      <c r="O190">
        <v>43.6527525630596</v>
      </c>
      <c r="P190">
        <v>7.5797125069689303E-2</v>
      </c>
      <c r="Q190">
        <v>1.3823644419279499</v>
      </c>
      <c r="R190">
        <v>0.46036261742608298</v>
      </c>
      <c r="S190" t="s">
        <v>1516</v>
      </c>
      <c r="T190" t="s">
        <v>2650</v>
      </c>
      <c r="U190" t="s">
        <v>2650</v>
      </c>
      <c r="V190" t="s">
        <v>2650</v>
      </c>
      <c r="W190" t="s">
        <v>2840</v>
      </c>
      <c r="X190">
        <v>1</v>
      </c>
      <c r="Y190" t="s">
        <v>4160</v>
      </c>
      <c r="Z190" t="s">
        <v>5470</v>
      </c>
      <c r="AA190">
        <v>1.3319348051222191</v>
      </c>
      <c r="AB190" t="str">
        <f>HYPERLINK("Melting_Curves/meltCurve_P01619_IGKV3_20.pdf", "Melting_Curves/meltCurve_P01619_IGKV3_20.pdf")</f>
        <v>Melting_Curves/meltCurve_P01619_IGKV3_20.pdf</v>
      </c>
    </row>
    <row r="191" spans="1:28" x14ac:dyDescent="0.25">
      <c r="A191" t="s">
        <v>195</v>
      </c>
      <c r="B191">
        <v>1</v>
      </c>
      <c r="C191">
        <v>1.2438865504109</v>
      </c>
      <c r="D191">
        <v>1.62241932250952</v>
      </c>
      <c r="E191">
        <v>2.0819302465423899</v>
      </c>
      <c r="F191">
        <v>1.77690920024053</v>
      </c>
      <c r="G191">
        <v>2.2869813589897801</v>
      </c>
      <c r="H191">
        <v>1.5372319102024501</v>
      </c>
      <c r="I191">
        <v>2.0773201042293001</v>
      </c>
      <c r="J191">
        <v>1.9925335738625001</v>
      </c>
      <c r="K191">
        <v>1.9470835838845499</v>
      </c>
      <c r="L191">
        <v>10727.098546347999</v>
      </c>
      <c r="M191">
        <v>250</v>
      </c>
      <c r="O191">
        <v>42.905627964048698</v>
      </c>
      <c r="P191">
        <v>0.72834233115675795</v>
      </c>
      <c r="Q191">
        <v>1.5</v>
      </c>
      <c r="R191">
        <v>-0.23115686094631599</v>
      </c>
      <c r="S191" t="s">
        <v>1517</v>
      </c>
      <c r="T191" t="s">
        <v>2650</v>
      </c>
      <c r="U191" t="s">
        <v>2650</v>
      </c>
      <c r="V191" t="s">
        <v>2650</v>
      </c>
      <c r="W191" t="s">
        <v>2841</v>
      </c>
      <c r="X191">
        <v>1</v>
      </c>
      <c r="Y191" t="s">
        <v>4161</v>
      </c>
      <c r="Z191" t="s">
        <v>5471</v>
      </c>
      <c r="AA191">
        <v>1.4514891117633331</v>
      </c>
      <c r="AB191" t="str">
        <f>HYPERLINK("Melting_Curves/meltCurve_P01700_IGLV1_47.pdf", "Melting_Curves/meltCurve_P01700_IGLV1_47.pdf")</f>
        <v>Melting_Curves/meltCurve_P01700_IGLV1_47.pdf</v>
      </c>
    </row>
    <row r="192" spans="1:28" x14ac:dyDescent="0.25">
      <c r="A192" t="s">
        <v>196</v>
      </c>
      <c r="B192">
        <v>1</v>
      </c>
      <c r="C192">
        <v>0.79240782972253898</v>
      </c>
      <c r="D192">
        <v>1.1018624097301399</v>
      </c>
      <c r="E192">
        <v>1.2881984036487999</v>
      </c>
      <c r="F192">
        <v>1.0099771949829</v>
      </c>
      <c r="G192">
        <v>1.1038578487267201</v>
      </c>
      <c r="H192">
        <v>0.96816799695933098</v>
      </c>
      <c r="I192">
        <v>1.1111744583808401</v>
      </c>
      <c r="J192">
        <v>0.80121626757886699</v>
      </c>
      <c r="K192">
        <v>1.0225199543899699</v>
      </c>
      <c r="L192">
        <v>6071.0226848278799</v>
      </c>
      <c r="M192">
        <v>92.750552411612105</v>
      </c>
      <c r="O192">
        <v>65.424968998232202</v>
      </c>
      <c r="P192">
        <v>-2.8117776034824099E-2</v>
      </c>
      <c r="Q192">
        <v>0.92066442972462703</v>
      </c>
      <c r="R192">
        <v>3.7587199168648402E-2</v>
      </c>
      <c r="S192" t="s">
        <v>1518</v>
      </c>
      <c r="T192" t="s">
        <v>2650</v>
      </c>
      <c r="U192" t="s">
        <v>2650</v>
      </c>
      <c r="V192" t="s">
        <v>2650</v>
      </c>
      <c r="W192" t="s">
        <v>2842</v>
      </c>
      <c r="X192">
        <v>23</v>
      </c>
      <c r="Y192" t="s">
        <v>4162</v>
      </c>
      <c r="Z192" t="s">
        <v>5472</v>
      </c>
      <c r="AA192">
        <v>0.98804267576891336</v>
      </c>
      <c r="AB192" t="str">
        <f>HYPERLINK("Melting_Curves/meltCurve_P01833_PIGR.pdf", "Melting_Curves/meltCurve_P01833_PIGR.pdf")</f>
        <v>Melting_Curves/meltCurve_P01833_PIGR.pdf</v>
      </c>
    </row>
    <row r="193" spans="1:28" x14ac:dyDescent="0.25">
      <c r="A193" t="s">
        <v>197</v>
      </c>
      <c r="B193">
        <v>1</v>
      </c>
      <c r="C193">
        <v>0.93914412051262797</v>
      </c>
      <c r="D193">
        <v>1.12604361837668</v>
      </c>
      <c r="E193">
        <v>1.25856254215694</v>
      </c>
      <c r="F193">
        <v>1.1523195683129701</v>
      </c>
      <c r="G193">
        <v>1.2819455894476499</v>
      </c>
      <c r="H193">
        <v>1.06592220640036</v>
      </c>
      <c r="I193">
        <v>1.2364685602937899</v>
      </c>
      <c r="J193">
        <v>0.98719928052162198</v>
      </c>
      <c r="K193">
        <v>1.1692273102001001</v>
      </c>
      <c r="L193">
        <v>11445.418055690099</v>
      </c>
      <c r="M193">
        <v>250</v>
      </c>
      <c r="O193">
        <v>45.778742375453398</v>
      </c>
      <c r="P193">
        <v>0.22461397347586601</v>
      </c>
      <c r="Q193">
        <v>1.16452072386348</v>
      </c>
      <c r="R193">
        <v>0.44021760992666997</v>
      </c>
      <c r="S193" t="s">
        <v>1519</v>
      </c>
      <c r="T193" t="s">
        <v>2650</v>
      </c>
      <c r="U193" t="s">
        <v>2650</v>
      </c>
      <c r="V193" t="s">
        <v>2650</v>
      </c>
      <c r="W193" t="s">
        <v>2843</v>
      </c>
      <c r="X193">
        <v>7</v>
      </c>
      <c r="Y193" t="s">
        <v>4163</v>
      </c>
      <c r="Z193" t="s">
        <v>5473</v>
      </c>
      <c r="AA193">
        <v>1.132800675286959</v>
      </c>
      <c r="AB193" t="str">
        <f>HYPERLINK("Melting_Curves/meltCurve_P01834_IGKC.pdf", "Melting_Curves/meltCurve_P01834_IGKC.pdf")</f>
        <v>Melting_Curves/meltCurve_P01834_IGKC.pdf</v>
      </c>
    </row>
    <row r="194" spans="1:28" x14ac:dyDescent="0.25">
      <c r="A194" t="s">
        <v>198</v>
      </c>
      <c r="B194">
        <v>1</v>
      </c>
      <c r="C194">
        <v>1.05831708689338</v>
      </c>
      <c r="D194">
        <v>1.4565533123110901</v>
      </c>
      <c r="E194">
        <v>1.7915134703704201</v>
      </c>
      <c r="F194">
        <v>1.5629293312572801</v>
      </c>
      <c r="G194">
        <v>1.71850262341843</v>
      </c>
      <c r="H194">
        <v>1.3601214230573</v>
      </c>
      <c r="I194">
        <v>1.65530506234708</v>
      </c>
      <c r="J194">
        <v>1.3438967904012999</v>
      </c>
      <c r="K194">
        <v>1.6448375574077201</v>
      </c>
      <c r="L194">
        <v>2890.0304962734599</v>
      </c>
      <c r="M194">
        <v>65.306437230425104</v>
      </c>
      <c r="O194">
        <v>44.211955198157199</v>
      </c>
      <c r="P194">
        <v>0.18464033076469899</v>
      </c>
      <c r="Q194">
        <v>1.5</v>
      </c>
      <c r="R194">
        <v>0.65565492632875799</v>
      </c>
      <c r="S194" t="s">
        <v>1520</v>
      </c>
      <c r="T194" t="s">
        <v>2650</v>
      </c>
      <c r="U194" t="s">
        <v>2650</v>
      </c>
      <c r="V194" t="s">
        <v>2650</v>
      </c>
      <c r="W194" t="s">
        <v>2844</v>
      </c>
      <c r="X194">
        <v>13</v>
      </c>
      <c r="Y194" t="s">
        <v>4164</v>
      </c>
      <c r="Z194" t="s">
        <v>5474</v>
      </c>
      <c r="AA194">
        <v>1.4285309098777359</v>
      </c>
      <c r="AB194" t="str">
        <f>HYPERLINK("Melting_Curves/meltCurve_P01859_IGHG2.pdf", "Melting_Curves/meltCurve_P01859_IGHG2.pdf")</f>
        <v>Melting_Curves/meltCurve_P01859_IGHG2.pdf</v>
      </c>
    </row>
    <row r="195" spans="1:28" x14ac:dyDescent="0.25">
      <c r="A195" t="s">
        <v>199</v>
      </c>
      <c r="B195">
        <v>1</v>
      </c>
      <c r="C195">
        <v>0.85865999173734497</v>
      </c>
      <c r="D195">
        <v>1.6165641935405499</v>
      </c>
      <c r="E195">
        <v>2.0344358307613799</v>
      </c>
      <c r="F195">
        <v>1.5004009817978601</v>
      </c>
      <c r="G195">
        <v>1.6624948358404801</v>
      </c>
      <c r="H195">
        <v>1.5437799217477901</v>
      </c>
      <c r="I195">
        <v>1.9527813555614999</v>
      </c>
      <c r="J195">
        <v>1.1008772995698599</v>
      </c>
      <c r="K195">
        <v>1.63782837979052</v>
      </c>
      <c r="L195">
        <v>11104.7758205031</v>
      </c>
      <c r="M195">
        <v>250</v>
      </c>
      <c r="O195">
        <v>44.416260771609998</v>
      </c>
      <c r="P195">
        <v>0.70357115853782204</v>
      </c>
      <c r="Q195">
        <v>1.5</v>
      </c>
      <c r="R195">
        <v>0.467036052797698</v>
      </c>
      <c r="S195" t="s">
        <v>1521</v>
      </c>
      <c r="T195" t="s">
        <v>2650</v>
      </c>
      <c r="U195" t="s">
        <v>2650</v>
      </c>
      <c r="V195" t="s">
        <v>2650</v>
      </c>
      <c r="W195" t="s">
        <v>2845</v>
      </c>
      <c r="X195">
        <v>12</v>
      </c>
      <c r="Y195" t="s">
        <v>4165</v>
      </c>
      <c r="Z195" t="s">
        <v>5475</v>
      </c>
      <c r="AA195">
        <v>1.4263093012156509</v>
      </c>
      <c r="AB195" t="str">
        <f>HYPERLINK("Melting_Curves/meltCurve_P01860_IGHG3.pdf", "Melting_Curves/meltCurve_P01860_IGHG3.pdf")</f>
        <v>Melting_Curves/meltCurve_P01860_IGHG3.pdf</v>
      </c>
    </row>
    <row r="196" spans="1:28" x14ac:dyDescent="0.25">
      <c r="A196" t="s">
        <v>200</v>
      </c>
      <c r="B196">
        <v>1</v>
      </c>
      <c r="C196">
        <v>1.25331731869138</v>
      </c>
      <c r="D196">
        <v>1.53288721116449</v>
      </c>
      <c r="E196">
        <v>1.87685884237017</v>
      </c>
      <c r="F196">
        <v>1.3991077556623199</v>
      </c>
      <c r="G196">
        <v>1.7030427819720899</v>
      </c>
      <c r="H196">
        <v>1.27533745138412</v>
      </c>
      <c r="I196">
        <v>1.5519903912148201</v>
      </c>
      <c r="J196">
        <v>1.3846945778997899</v>
      </c>
      <c r="K196">
        <v>1.59482955845344</v>
      </c>
      <c r="L196">
        <v>1.0000000000000001E-5</v>
      </c>
      <c r="M196">
        <v>2.3687513470305999</v>
      </c>
      <c r="Q196">
        <v>1.5</v>
      </c>
      <c r="R196">
        <v>4.9314572425629397E-9</v>
      </c>
      <c r="S196" t="s">
        <v>1522</v>
      </c>
      <c r="T196" t="s">
        <v>2650</v>
      </c>
      <c r="U196" t="s">
        <v>2650</v>
      </c>
      <c r="V196" t="s">
        <v>2650</v>
      </c>
      <c r="W196" t="s">
        <v>2846</v>
      </c>
      <c r="X196">
        <v>6</v>
      </c>
      <c r="Y196" t="s">
        <v>4166</v>
      </c>
      <c r="Z196" t="s">
        <v>5476</v>
      </c>
      <c r="AA196">
        <v>1.457206587402579</v>
      </c>
      <c r="AB196" t="str">
        <f>HYPERLINK("Melting_Curves/meltCurve_P01861_IGHG4.pdf", "Melting_Curves/meltCurve_P01861_IGHG4.pdf")</f>
        <v>Melting_Curves/meltCurve_P01861_IGHG4.pdf</v>
      </c>
    </row>
    <row r="197" spans="1:28" x14ac:dyDescent="0.25">
      <c r="A197" t="s">
        <v>201</v>
      </c>
      <c r="B197">
        <v>1</v>
      </c>
      <c r="C197">
        <v>0.87094917655392201</v>
      </c>
      <c r="D197">
        <v>1.12484505046928</v>
      </c>
      <c r="E197">
        <v>1.35346201522933</v>
      </c>
      <c r="F197">
        <v>1.0988135293076</v>
      </c>
      <c r="G197">
        <v>1.25668496546839</v>
      </c>
      <c r="H197">
        <v>0.98893217637683695</v>
      </c>
      <c r="I197">
        <v>1.15521515849123</v>
      </c>
      <c r="J197">
        <v>0.89711351159907904</v>
      </c>
      <c r="K197">
        <v>1.0520630423233599</v>
      </c>
      <c r="L197">
        <v>11159.637430897499</v>
      </c>
      <c r="M197">
        <v>250</v>
      </c>
      <c r="O197">
        <v>44.635703326589102</v>
      </c>
      <c r="P197">
        <v>0.162285891596395</v>
      </c>
      <c r="Q197">
        <v>1.1158998921224801</v>
      </c>
      <c r="R197">
        <v>0.211719642306019</v>
      </c>
      <c r="S197" t="s">
        <v>1523</v>
      </c>
      <c r="T197" t="s">
        <v>2650</v>
      </c>
      <c r="U197" t="s">
        <v>2650</v>
      </c>
      <c r="V197" t="s">
        <v>2650</v>
      </c>
      <c r="W197" t="s">
        <v>2847</v>
      </c>
      <c r="X197">
        <v>12</v>
      </c>
      <c r="Y197" t="s">
        <v>4167</v>
      </c>
      <c r="Z197" t="s">
        <v>5477</v>
      </c>
      <c r="AA197">
        <v>1.0979705654439349</v>
      </c>
      <c r="AB197" t="str">
        <f>HYPERLINK("Melting_Curves/meltCurve_P01876_IGHA1.pdf", "Melting_Curves/meltCurve_P01876_IGHA1.pdf")</f>
        <v>Melting_Curves/meltCurve_P01876_IGHA1.pdf</v>
      </c>
    </row>
    <row r="198" spans="1:28" x14ac:dyDescent="0.25">
      <c r="A198" t="s">
        <v>202</v>
      </c>
      <c r="B198">
        <v>1</v>
      </c>
      <c r="C198">
        <v>0.89581864645752596</v>
      </c>
      <c r="D198">
        <v>1.19935230877688</v>
      </c>
      <c r="E198">
        <v>1.5705630948184699</v>
      </c>
      <c r="F198">
        <v>1.3821598519562901</v>
      </c>
      <c r="G198">
        <v>1.13808600634473</v>
      </c>
      <c r="H198">
        <v>1.105745505816</v>
      </c>
      <c r="I198">
        <v>1.17412759957702</v>
      </c>
      <c r="J198">
        <v>0.68811684878392698</v>
      </c>
      <c r="K198">
        <v>1.0412187169545299</v>
      </c>
      <c r="L198">
        <v>15000</v>
      </c>
      <c r="M198">
        <v>229.136364225698</v>
      </c>
      <c r="O198">
        <v>65.458214875113001</v>
      </c>
      <c r="P198">
        <v>-0.11793123544544599</v>
      </c>
      <c r="Q198">
        <v>0.86524062803239299</v>
      </c>
      <c r="R198">
        <v>-0.1980327187367</v>
      </c>
      <c r="S198" t="s">
        <v>1524</v>
      </c>
      <c r="T198" t="s">
        <v>2650</v>
      </c>
      <c r="U198" t="s">
        <v>2650</v>
      </c>
      <c r="V198" t="s">
        <v>2650</v>
      </c>
      <c r="W198" t="s">
        <v>2848</v>
      </c>
      <c r="X198">
        <v>2</v>
      </c>
      <c r="Y198" t="s">
        <v>4168</v>
      </c>
      <c r="Z198" t="s">
        <v>5478</v>
      </c>
      <c r="AA198">
        <v>0.97963922654685798</v>
      </c>
      <c r="AB198" t="str">
        <f>HYPERLINK("Melting_Curves/meltCurve_P02545_2_LMNA.pdf", "Melting_Curves/meltCurve_P02545_2_LMNA.pdf")</f>
        <v>Melting_Curves/meltCurve_P02545_2_LMNA.pdf</v>
      </c>
    </row>
    <row r="199" spans="1:28" x14ac:dyDescent="0.25">
      <c r="A199" t="s">
        <v>203</v>
      </c>
      <c r="B199">
        <v>1</v>
      </c>
      <c r="C199">
        <v>0.89212508104333899</v>
      </c>
      <c r="D199">
        <v>0.99785546855518403</v>
      </c>
      <c r="E199">
        <v>1.13565408209067</v>
      </c>
      <c r="F199">
        <v>0.95850581018403103</v>
      </c>
      <c r="G199">
        <v>1.0814423220786999</v>
      </c>
      <c r="H199">
        <v>0.95461572988878396</v>
      </c>
      <c r="I199">
        <v>1.08014562864695</v>
      </c>
      <c r="J199">
        <v>0.87167722308114304</v>
      </c>
      <c r="K199">
        <v>0.98179641913121496</v>
      </c>
      <c r="L199">
        <v>5845.3514901962399</v>
      </c>
      <c r="M199">
        <v>89.142311606093301</v>
      </c>
      <c r="O199">
        <v>65.540278500738097</v>
      </c>
      <c r="P199">
        <v>-2.38584795147271E-2</v>
      </c>
      <c r="Q199">
        <v>0.92983394169671196</v>
      </c>
      <c r="R199">
        <v>0.12934089867932699</v>
      </c>
      <c r="S199" t="s">
        <v>1525</v>
      </c>
      <c r="T199" t="s">
        <v>2650</v>
      </c>
      <c r="U199" t="s">
        <v>2650</v>
      </c>
      <c r="V199" t="s">
        <v>2650</v>
      </c>
      <c r="W199" t="s">
        <v>2849</v>
      </c>
      <c r="X199">
        <v>29</v>
      </c>
      <c r="Y199" t="s">
        <v>4169</v>
      </c>
      <c r="Z199" t="s">
        <v>5479</v>
      </c>
      <c r="AA199">
        <v>0.98970288468514744</v>
      </c>
      <c r="AB199" t="str">
        <f>HYPERLINK("Melting_Curves/meltCurve_P02647_APOA1.pdf", "Melting_Curves/meltCurve_P02647_APOA1.pdf")</f>
        <v>Melting_Curves/meltCurve_P02647_APOA1.pdf</v>
      </c>
    </row>
    <row r="200" spans="1:28" x14ac:dyDescent="0.25">
      <c r="A200" t="s">
        <v>204</v>
      </c>
      <c r="B200">
        <v>1</v>
      </c>
      <c r="C200">
        <v>0.93295085102314002</v>
      </c>
      <c r="D200">
        <v>1.14323962516734</v>
      </c>
      <c r="E200">
        <v>1.3119143239625199</v>
      </c>
      <c r="F200">
        <v>1.10814687320711</v>
      </c>
      <c r="G200">
        <v>1.1930579460699899</v>
      </c>
      <c r="H200">
        <v>1.1174220692293</v>
      </c>
      <c r="I200">
        <v>1.24765729585007</v>
      </c>
      <c r="J200">
        <v>0.93713903231975504</v>
      </c>
      <c r="K200">
        <v>1.1252629565882599</v>
      </c>
      <c r="L200">
        <v>11349.365788773001</v>
      </c>
      <c r="M200">
        <v>250</v>
      </c>
      <c r="O200">
        <v>45.394558121839601</v>
      </c>
      <c r="P200">
        <v>0.20467396117914899</v>
      </c>
      <c r="Q200">
        <v>1.14865734391595</v>
      </c>
      <c r="R200">
        <v>0.35727877845308997</v>
      </c>
      <c r="S200" t="s">
        <v>1526</v>
      </c>
      <c r="T200" t="s">
        <v>2650</v>
      </c>
      <c r="U200" t="s">
        <v>2650</v>
      </c>
      <c r="V200" t="s">
        <v>2650</v>
      </c>
      <c r="W200" t="s">
        <v>2850</v>
      </c>
      <c r="X200">
        <v>5</v>
      </c>
      <c r="Y200" t="s">
        <v>4170</v>
      </c>
      <c r="Z200" t="s">
        <v>5480</v>
      </c>
      <c r="AA200">
        <v>1.1218997488942919</v>
      </c>
      <c r="AB200" t="str">
        <f>HYPERLINK("Melting_Curves/meltCurve_P02649_APOE.pdf", "Melting_Curves/meltCurve_P02649_APOE.pdf")</f>
        <v>Melting_Curves/meltCurve_P02649_APOE.pdf</v>
      </c>
    </row>
    <row r="201" spans="1:28" x14ac:dyDescent="0.25">
      <c r="A201" t="s">
        <v>205</v>
      </c>
      <c r="B201">
        <v>1</v>
      </c>
      <c r="C201">
        <v>0.93018098576436103</v>
      </c>
      <c r="D201">
        <v>1.2045568352528799</v>
      </c>
      <c r="E201">
        <v>1.4572573145432399</v>
      </c>
      <c r="F201">
        <v>1.0904928821804101</v>
      </c>
      <c r="G201">
        <v>1.2617497675084099</v>
      </c>
      <c r="H201">
        <v>1.09957793833608</v>
      </c>
      <c r="I201">
        <v>1.22490879175907</v>
      </c>
      <c r="J201">
        <v>1.0377709421274799</v>
      </c>
      <c r="K201">
        <v>1.0623435152729099</v>
      </c>
      <c r="L201">
        <v>11122.860737306901</v>
      </c>
      <c r="M201">
        <v>250</v>
      </c>
      <c r="O201">
        <v>44.488595853269601</v>
      </c>
      <c r="P201">
        <v>0.25264446319348599</v>
      </c>
      <c r="Q201">
        <v>1.17983675822278</v>
      </c>
      <c r="R201">
        <v>0.33819308775241702</v>
      </c>
      <c r="S201" t="s">
        <v>1527</v>
      </c>
      <c r="T201" t="s">
        <v>2650</v>
      </c>
      <c r="U201" t="s">
        <v>2650</v>
      </c>
      <c r="V201" t="s">
        <v>2650</v>
      </c>
      <c r="W201" t="s">
        <v>2851</v>
      </c>
      <c r="X201">
        <v>3</v>
      </c>
      <c r="Y201" t="s">
        <v>4171</v>
      </c>
      <c r="Z201" t="s">
        <v>5481</v>
      </c>
      <c r="AA201">
        <v>1.152898498255746</v>
      </c>
      <c r="AB201" t="str">
        <f>HYPERLINK("Melting_Curves/meltCurve_P02652_APOA2.pdf", "Melting_Curves/meltCurve_P02652_APOA2.pdf")</f>
        <v>Melting_Curves/meltCurve_P02652_APOA2.pdf</v>
      </c>
    </row>
    <row r="202" spans="1:28" x14ac:dyDescent="0.25">
      <c r="A202" t="s">
        <v>206</v>
      </c>
      <c r="B202">
        <v>1</v>
      </c>
      <c r="C202">
        <v>0.65371543543870103</v>
      </c>
      <c r="D202">
        <v>0.95133092253731699</v>
      </c>
      <c r="E202">
        <v>1.04777182631393</v>
      </c>
      <c r="F202">
        <v>0.65455830772995505</v>
      </c>
      <c r="G202">
        <v>0.89518475216835702</v>
      </c>
      <c r="H202">
        <v>0.99314826395497402</v>
      </c>
      <c r="I202">
        <v>1.43024552054161</v>
      </c>
      <c r="J202">
        <v>0.86813127056200501</v>
      </c>
      <c r="K202">
        <v>1.2985671171048701</v>
      </c>
      <c r="L202">
        <v>1048.9892403244401</v>
      </c>
      <c r="M202">
        <v>14.7773714119194</v>
      </c>
      <c r="O202">
        <v>69.724241602654303</v>
      </c>
      <c r="P202">
        <v>2.64953629244668E-2</v>
      </c>
      <c r="Q202">
        <v>1.5</v>
      </c>
      <c r="R202">
        <v>0.14077357126132101</v>
      </c>
      <c r="S202" t="s">
        <v>1528</v>
      </c>
      <c r="T202" t="s">
        <v>2650</v>
      </c>
      <c r="U202" t="s">
        <v>2650</v>
      </c>
      <c r="V202" t="s">
        <v>2650</v>
      </c>
      <c r="W202" t="s">
        <v>2852</v>
      </c>
      <c r="X202">
        <v>1</v>
      </c>
      <c r="Y202" t="s">
        <v>4172</v>
      </c>
      <c r="Z202" t="s">
        <v>5482</v>
      </c>
      <c r="AA202">
        <v>1.040348911805473</v>
      </c>
      <c r="AB202" t="str">
        <f>HYPERLINK("Melting_Curves/meltCurve_P02671_2_FGA.pdf", "Melting_Curves/meltCurve_P02671_2_FGA.pdf")</f>
        <v>Melting_Curves/meltCurve_P02671_2_FGA.pdf</v>
      </c>
    </row>
    <row r="203" spans="1:28" x14ac:dyDescent="0.25">
      <c r="A203" t="s">
        <v>207</v>
      </c>
      <c r="B203">
        <v>1</v>
      </c>
      <c r="C203">
        <v>0.70460400565112602</v>
      </c>
      <c r="D203">
        <v>1.0496343389013501</v>
      </c>
      <c r="E203">
        <v>1.2174021441037099</v>
      </c>
      <c r="F203">
        <v>0.97151583146347498</v>
      </c>
      <c r="G203">
        <v>0.98221557383861002</v>
      </c>
      <c r="H203">
        <v>1.4612316130640699</v>
      </c>
      <c r="I203">
        <v>2.3919637663093201</v>
      </c>
      <c r="J203">
        <v>1.87976813762154</v>
      </c>
      <c r="K203">
        <v>2.2685531455165</v>
      </c>
      <c r="L203">
        <v>15000</v>
      </c>
      <c r="M203">
        <v>248.378221020414</v>
      </c>
      <c r="O203">
        <v>60.387853412298398</v>
      </c>
      <c r="P203">
        <v>0.51413117158997901</v>
      </c>
      <c r="Q203">
        <v>1.5</v>
      </c>
      <c r="R203">
        <v>0.46682658688405998</v>
      </c>
      <c r="S203" t="s">
        <v>1529</v>
      </c>
      <c r="T203" t="s">
        <v>2650</v>
      </c>
      <c r="U203" t="s">
        <v>2650</v>
      </c>
      <c r="V203" t="s">
        <v>2650</v>
      </c>
      <c r="W203" t="s">
        <v>2853</v>
      </c>
      <c r="X203">
        <v>5</v>
      </c>
      <c r="Y203" t="s">
        <v>4173</v>
      </c>
      <c r="Z203" t="s">
        <v>5483</v>
      </c>
      <c r="AA203">
        <v>1.160083505539155</v>
      </c>
      <c r="AB203" t="str">
        <f>HYPERLINK("Melting_Curves/meltCurve_P02675_FGB.pdf", "Melting_Curves/meltCurve_P02675_FGB.pdf")</f>
        <v>Melting_Curves/meltCurve_P02675_FGB.pdf</v>
      </c>
    </row>
    <row r="204" spans="1:28" x14ac:dyDescent="0.25">
      <c r="A204" t="s">
        <v>208</v>
      </c>
      <c r="B204">
        <v>1</v>
      </c>
      <c r="C204">
        <v>0.72892027334851905</v>
      </c>
      <c r="D204">
        <v>0.666715261958998</v>
      </c>
      <c r="E204">
        <v>1.2682460136674301</v>
      </c>
      <c r="F204">
        <v>1.1006833712984101</v>
      </c>
      <c r="G204">
        <v>1.2876537585421399</v>
      </c>
      <c r="H204">
        <v>1.68656036446469</v>
      </c>
      <c r="I204">
        <v>2.6673348519362201</v>
      </c>
      <c r="J204">
        <v>1.82223234624146</v>
      </c>
      <c r="K204">
        <v>2.3707517084282501</v>
      </c>
      <c r="L204">
        <v>14232.6982348698</v>
      </c>
      <c r="M204">
        <v>250</v>
      </c>
      <c r="O204">
        <v>56.927149764809201</v>
      </c>
      <c r="P204">
        <v>0.54894721017779002</v>
      </c>
      <c r="Q204">
        <v>1.5</v>
      </c>
      <c r="R204">
        <v>0.37480658259323901</v>
      </c>
      <c r="S204" t="s">
        <v>1530</v>
      </c>
      <c r="T204" t="s">
        <v>2650</v>
      </c>
      <c r="U204" t="s">
        <v>2650</v>
      </c>
      <c r="V204" t="s">
        <v>2650</v>
      </c>
      <c r="W204" t="s">
        <v>2854</v>
      </c>
      <c r="X204">
        <v>1</v>
      </c>
      <c r="Y204" t="s">
        <v>4174</v>
      </c>
      <c r="Z204" t="s">
        <v>5484</v>
      </c>
      <c r="AA204">
        <v>1.217770161347562</v>
      </c>
      <c r="AB204" t="str">
        <f>HYPERLINK("Melting_Curves/meltCurve_P02679_2_FGG.pdf", "Melting_Curves/meltCurve_P02679_2_FGG.pdf")</f>
        <v>Melting_Curves/meltCurve_P02679_2_FGG.pdf</v>
      </c>
    </row>
    <row r="205" spans="1:28" x14ac:dyDescent="0.25">
      <c r="A205" t="s">
        <v>209</v>
      </c>
      <c r="B205">
        <v>1</v>
      </c>
      <c r="C205">
        <v>0.80204524033930302</v>
      </c>
      <c r="D205">
        <v>1.3170593779453299</v>
      </c>
      <c r="E205">
        <v>1.0531573986804901</v>
      </c>
      <c r="F205">
        <v>1.31800188501414</v>
      </c>
      <c r="G205">
        <v>1.5561734213006599</v>
      </c>
      <c r="H205">
        <v>1.3662582469368501</v>
      </c>
      <c r="I205">
        <v>1.2404335532516499</v>
      </c>
      <c r="J205">
        <v>1.2181903864279</v>
      </c>
      <c r="K205">
        <v>1.4087653157398701</v>
      </c>
      <c r="L205">
        <v>951.22123550794299</v>
      </c>
      <c r="M205">
        <v>19.672446119067299</v>
      </c>
      <c r="O205">
        <v>47.861648217560699</v>
      </c>
      <c r="P205">
        <v>3.6003850419347498E-2</v>
      </c>
      <c r="Q205">
        <v>1.3503669518543999</v>
      </c>
      <c r="R205">
        <v>0.51311143372152501</v>
      </c>
      <c r="S205" t="s">
        <v>1531</v>
      </c>
      <c r="T205" t="s">
        <v>2650</v>
      </c>
      <c r="U205" t="s">
        <v>2650</v>
      </c>
      <c r="V205" t="s">
        <v>2650</v>
      </c>
      <c r="W205" t="s">
        <v>2855</v>
      </c>
      <c r="X205">
        <v>1</v>
      </c>
      <c r="Y205" t="s">
        <v>4175</v>
      </c>
      <c r="Z205" t="s">
        <v>5485</v>
      </c>
      <c r="AA205">
        <v>1.2476926528697529</v>
      </c>
      <c r="AB205" t="str">
        <f>HYPERLINK("Melting_Curves/meltCurve_P02746_C1QB.pdf", "Melting_Curves/meltCurve_P02746_C1QB.pdf")</f>
        <v>Melting_Curves/meltCurve_P02746_C1QB.pdf</v>
      </c>
    </row>
    <row r="206" spans="1:28" x14ac:dyDescent="0.25">
      <c r="A206" t="s">
        <v>210</v>
      </c>
      <c r="B206">
        <v>1</v>
      </c>
      <c r="C206">
        <v>0.819335227648186</v>
      </c>
      <c r="D206">
        <v>1.11394524108461</v>
      </c>
      <c r="E206">
        <v>1.3126060045375401</v>
      </c>
      <c r="F206">
        <v>1.2007092667239401</v>
      </c>
      <c r="G206">
        <v>1.4591510826229701</v>
      </c>
      <c r="H206">
        <v>1.67184299213639</v>
      </c>
      <c r="I206">
        <v>2.0034582259521101</v>
      </c>
      <c r="J206">
        <v>1.58545342408423</v>
      </c>
      <c r="K206">
        <v>1.79373995021917</v>
      </c>
      <c r="L206">
        <v>1136.2290414593101</v>
      </c>
      <c r="M206">
        <v>22.513970663980299</v>
      </c>
      <c r="O206">
        <v>50.074631081175497</v>
      </c>
      <c r="P206">
        <v>5.6202186462659898E-2</v>
      </c>
      <c r="Q206">
        <v>1.5</v>
      </c>
      <c r="R206">
        <v>0.63174564304459402</v>
      </c>
      <c r="S206" t="s">
        <v>1532</v>
      </c>
      <c r="T206" t="s">
        <v>2650</v>
      </c>
      <c r="U206" t="s">
        <v>2650</v>
      </c>
      <c r="V206" t="s">
        <v>2650</v>
      </c>
      <c r="W206" t="s">
        <v>2856</v>
      </c>
      <c r="X206">
        <v>4</v>
      </c>
      <c r="Y206" t="s">
        <v>4176</v>
      </c>
      <c r="Z206" t="s">
        <v>5486</v>
      </c>
      <c r="AA206">
        <v>1.3200136296767491</v>
      </c>
      <c r="AB206" t="str">
        <f>HYPERLINK("Melting_Curves/meltCurve_P02748_C9.pdf", "Melting_Curves/meltCurve_P02748_C9.pdf")</f>
        <v>Melting_Curves/meltCurve_P02748_C9.pdf</v>
      </c>
    </row>
    <row r="207" spans="1:28" x14ac:dyDescent="0.25">
      <c r="A207" t="s">
        <v>211</v>
      </c>
      <c r="B207">
        <v>1</v>
      </c>
      <c r="C207">
        <v>0.80394917059808202</v>
      </c>
      <c r="D207">
        <v>1.16420636128443</v>
      </c>
      <c r="E207">
        <v>1.3349946735656699</v>
      </c>
      <c r="F207">
        <v>1.0234363110637601</v>
      </c>
      <c r="G207">
        <v>1.04599756505859</v>
      </c>
      <c r="H207">
        <v>0.96826966976107098</v>
      </c>
      <c r="I207">
        <v>1.10572972150358</v>
      </c>
      <c r="J207">
        <v>0.73424897275909295</v>
      </c>
      <c r="K207">
        <v>1.00038045959519</v>
      </c>
      <c r="L207">
        <v>5544.79157858899</v>
      </c>
      <c r="M207">
        <v>84.848227071267999</v>
      </c>
      <c r="O207">
        <v>65.313255268310002</v>
      </c>
      <c r="P207">
        <v>-3.9821814666406101E-2</v>
      </c>
      <c r="Q207">
        <v>0.87738614946263105</v>
      </c>
      <c r="R207">
        <v>9.1540906034306396E-2</v>
      </c>
      <c r="S207" t="s">
        <v>1533</v>
      </c>
      <c r="T207" t="s">
        <v>2650</v>
      </c>
      <c r="U207" t="s">
        <v>2650</v>
      </c>
      <c r="V207" t="s">
        <v>2650</v>
      </c>
      <c r="W207" t="s">
        <v>2857</v>
      </c>
      <c r="X207">
        <v>8</v>
      </c>
      <c r="Y207" t="s">
        <v>4177</v>
      </c>
      <c r="Z207" t="s">
        <v>5487</v>
      </c>
      <c r="AA207">
        <v>0.9811020263948963</v>
      </c>
      <c r="AB207" t="str">
        <f>HYPERLINK("Melting_Curves/meltCurve_P02749_APOH.pdf", "Melting_Curves/meltCurve_P02749_APOH.pdf")</f>
        <v>Melting_Curves/meltCurve_P02749_APOH.pdf</v>
      </c>
    </row>
    <row r="208" spans="1:28" x14ac:dyDescent="0.25">
      <c r="A208" t="s">
        <v>212</v>
      </c>
      <c r="B208">
        <v>1</v>
      </c>
      <c r="C208">
        <v>0.81723156302819999</v>
      </c>
      <c r="D208">
        <v>0.94328796370429702</v>
      </c>
      <c r="E208">
        <v>1.16644426652433</v>
      </c>
      <c r="F208">
        <v>1.4097500222400099</v>
      </c>
      <c r="G208">
        <v>2.1013255048483201</v>
      </c>
      <c r="H208">
        <v>1.91744506716484</v>
      </c>
      <c r="I208">
        <v>2.2633217685259299</v>
      </c>
      <c r="J208">
        <v>1.7317854283426699</v>
      </c>
      <c r="K208">
        <v>2.1415799306111598</v>
      </c>
      <c r="L208">
        <v>2772.1691612597101</v>
      </c>
      <c r="M208">
        <v>54.645053150865003</v>
      </c>
      <c r="O208">
        <v>50.662682787985197</v>
      </c>
      <c r="P208">
        <v>0.134825829360707</v>
      </c>
      <c r="Q208">
        <v>1.5</v>
      </c>
      <c r="R208">
        <v>0.39947896943904898</v>
      </c>
      <c r="S208" t="s">
        <v>1534</v>
      </c>
      <c r="T208" t="s">
        <v>2650</v>
      </c>
      <c r="U208" t="s">
        <v>2650</v>
      </c>
      <c r="V208" t="s">
        <v>2650</v>
      </c>
      <c r="W208" t="s">
        <v>2858</v>
      </c>
      <c r="X208">
        <v>9</v>
      </c>
      <c r="Y208" t="s">
        <v>4178</v>
      </c>
      <c r="Z208" t="s">
        <v>5488</v>
      </c>
      <c r="AA208">
        <v>1.320222978085509</v>
      </c>
      <c r="AB208" t="str">
        <f>HYPERLINK("Melting_Curves/meltCurve_P02750_LRG1.pdf", "Melting_Curves/meltCurve_P02750_LRG1.pdf")</f>
        <v>Melting_Curves/meltCurve_P02750_LRG1.pdf</v>
      </c>
    </row>
    <row r="209" spans="1:28" x14ac:dyDescent="0.25">
      <c r="A209" t="s">
        <v>213</v>
      </c>
      <c r="B209">
        <v>1</v>
      </c>
      <c r="C209">
        <v>0.774136915418289</v>
      </c>
      <c r="D209">
        <v>1.2454521304242401</v>
      </c>
      <c r="E209">
        <v>1.63088046754987</v>
      </c>
      <c r="F209">
        <v>1.31463749870061</v>
      </c>
      <c r="G209">
        <v>1.41870430473902</v>
      </c>
      <c r="H209">
        <v>1.2119567100567099</v>
      </c>
      <c r="I209">
        <v>1.4118897192159801</v>
      </c>
      <c r="J209">
        <v>0.89368091569549202</v>
      </c>
      <c r="K209">
        <v>1.25573175943358</v>
      </c>
      <c r="L209">
        <v>11435.122336910399</v>
      </c>
      <c r="M209">
        <v>250</v>
      </c>
      <c r="O209">
        <v>45.737562271311297</v>
      </c>
      <c r="P209">
        <v>0.41726438371324598</v>
      </c>
      <c r="Q209">
        <v>1.3053544913036099</v>
      </c>
      <c r="R209">
        <v>0.40625713584929002</v>
      </c>
      <c r="S209" t="s">
        <v>1535</v>
      </c>
      <c r="T209" t="s">
        <v>2650</v>
      </c>
      <c r="U209" t="s">
        <v>2650</v>
      </c>
      <c r="V209" t="s">
        <v>2650</v>
      </c>
      <c r="W209" t="s">
        <v>2859</v>
      </c>
      <c r="X209">
        <v>93</v>
      </c>
      <c r="Y209" t="s">
        <v>4179</v>
      </c>
      <c r="Z209" t="s">
        <v>5489</v>
      </c>
      <c r="AA209">
        <v>1.2469005058378191</v>
      </c>
      <c r="AB209" t="str">
        <f>HYPERLINK("Melting_Curves/meltCurve_P02751_FN1.pdf", "Melting_Curves/meltCurve_P02751_FN1.pdf")</f>
        <v>Melting_Curves/meltCurve_P02751_FN1.pdf</v>
      </c>
    </row>
    <row r="210" spans="1:28" x14ac:dyDescent="0.25">
      <c r="A210" t="s">
        <v>214</v>
      </c>
      <c r="B210">
        <v>1</v>
      </c>
      <c r="C210">
        <v>0.80966867899415296</v>
      </c>
      <c r="D210">
        <v>1.1658506441032499</v>
      </c>
      <c r="E210">
        <v>1.2846413461995501</v>
      </c>
      <c r="F210">
        <v>0.98535912915339596</v>
      </c>
      <c r="G210">
        <v>1.0516708656177201</v>
      </c>
      <c r="H210">
        <v>0.99790844702191395</v>
      </c>
      <c r="I210">
        <v>1.1894281504016699</v>
      </c>
      <c r="J210">
        <v>0.81057184959832695</v>
      </c>
      <c r="K210">
        <v>1.11541569615439</v>
      </c>
      <c r="L210">
        <v>11116.984547559499</v>
      </c>
      <c r="M210">
        <v>250</v>
      </c>
      <c r="O210">
        <v>44.465074644920698</v>
      </c>
      <c r="P210">
        <v>0.105564174663418</v>
      </c>
      <c r="Q210">
        <v>1.0751027328224401</v>
      </c>
      <c r="R210">
        <v>0.13094715845545099</v>
      </c>
      <c r="S210" t="s">
        <v>1536</v>
      </c>
      <c r="T210" t="s">
        <v>2650</v>
      </c>
      <c r="U210" t="s">
        <v>2650</v>
      </c>
      <c r="V210" t="s">
        <v>2650</v>
      </c>
      <c r="W210" t="s">
        <v>2860</v>
      </c>
      <c r="X210">
        <v>6</v>
      </c>
      <c r="Y210" t="s">
        <v>4180</v>
      </c>
      <c r="Z210" t="s">
        <v>5490</v>
      </c>
      <c r="AA210">
        <v>1.063911726159035</v>
      </c>
      <c r="AB210" t="str">
        <f>HYPERLINK("Melting_Curves/meltCurve_P02753_RBP4.pdf", "Melting_Curves/meltCurve_P02753_RBP4.pdf")</f>
        <v>Melting_Curves/meltCurve_P02753_RBP4.pdf</v>
      </c>
    </row>
    <row r="211" spans="1:28" x14ac:dyDescent="0.25">
      <c r="A211" t="s">
        <v>215</v>
      </c>
      <c r="B211">
        <v>1</v>
      </c>
      <c r="C211">
        <v>0.81265977003992196</v>
      </c>
      <c r="D211">
        <v>1.23105875186285</v>
      </c>
      <c r="E211">
        <v>1.45960469492761</v>
      </c>
      <c r="F211">
        <v>1.2022321574258401</v>
      </c>
      <c r="G211">
        <v>1.1850449803652801</v>
      </c>
      <c r="H211">
        <v>1.13696439643638</v>
      </c>
      <c r="I211">
        <v>1.3027445093496099</v>
      </c>
      <c r="J211">
        <v>0.83292540982714902</v>
      </c>
      <c r="K211">
        <v>1.15306377748045</v>
      </c>
      <c r="L211">
        <v>11133.1302113233</v>
      </c>
      <c r="M211">
        <v>250</v>
      </c>
      <c r="O211">
        <v>44.5296711392307</v>
      </c>
      <c r="P211">
        <v>0.263811917056058</v>
      </c>
      <c r="Q211">
        <v>1.1879593259883201</v>
      </c>
      <c r="R211">
        <v>0.30092349688265702</v>
      </c>
      <c r="S211" t="s">
        <v>1537</v>
      </c>
      <c r="T211" t="s">
        <v>2650</v>
      </c>
      <c r="U211" t="s">
        <v>2650</v>
      </c>
      <c r="V211" t="s">
        <v>2650</v>
      </c>
      <c r="W211" t="s">
        <v>2861</v>
      </c>
      <c r="X211">
        <v>5</v>
      </c>
      <c r="Y211" t="s">
        <v>4181</v>
      </c>
      <c r="Z211" t="s">
        <v>5491</v>
      </c>
      <c r="AA211">
        <v>1.1595469841336621</v>
      </c>
      <c r="AB211" t="str">
        <f>HYPERLINK("Melting_Curves/meltCurve_P02760_AMBP.pdf", "Melting_Curves/meltCurve_P02760_AMBP.pdf")</f>
        <v>Melting_Curves/meltCurve_P02760_AMBP.pdf</v>
      </c>
    </row>
    <row r="212" spans="1:28" x14ac:dyDescent="0.25">
      <c r="A212" t="s">
        <v>216</v>
      </c>
      <c r="B212">
        <v>1</v>
      </c>
      <c r="C212">
        <v>0.82006303145626402</v>
      </c>
      <c r="D212">
        <v>1.06636141999168</v>
      </c>
      <c r="E212">
        <v>1.20889576024261</v>
      </c>
      <c r="F212">
        <v>0.96991139917940195</v>
      </c>
      <c r="G212">
        <v>0.96741392638401602</v>
      </c>
      <c r="H212">
        <v>0.86894214188023999</v>
      </c>
      <c r="I212">
        <v>1.01730391865374</v>
      </c>
      <c r="J212">
        <v>0.70178985550336004</v>
      </c>
      <c r="K212">
        <v>0.92923827079740695</v>
      </c>
      <c r="L212">
        <v>1416.27747940678</v>
      </c>
      <c r="M212">
        <v>23.454438456763199</v>
      </c>
      <c r="O212">
        <v>59.950378041277503</v>
      </c>
      <c r="P212">
        <v>-1.4507049808093199E-2</v>
      </c>
      <c r="Q212">
        <v>0.85168043178569397</v>
      </c>
      <c r="R212">
        <v>0.22943319436104301</v>
      </c>
      <c r="S212" t="s">
        <v>1538</v>
      </c>
      <c r="T212" t="s">
        <v>2650</v>
      </c>
      <c r="U212" t="s">
        <v>2650</v>
      </c>
      <c r="V212" t="s">
        <v>2650</v>
      </c>
      <c r="W212" t="s">
        <v>2862</v>
      </c>
      <c r="X212">
        <v>10</v>
      </c>
      <c r="Y212" t="s">
        <v>4182</v>
      </c>
      <c r="Z212" t="s">
        <v>5492</v>
      </c>
      <c r="AA212">
        <v>0.95354443960854218</v>
      </c>
      <c r="AB212" t="str">
        <f>HYPERLINK("Melting_Curves/meltCurve_P02763_ORM1.pdf", "Melting_Curves/meltCurve_P02763_ORM1.pdf")</f>
        <v>Melting_Curves/meltCurve_P02763_ORM1.pdf</v>
      </c>
    </row>
    <row r="213" spans="1:28" x14ac:dyDescent="0.25">
      <c r="A213" t="s">
        <v>217</v>
      </c>
      <c r="B213">
        <v>1</v>
      </c>
      <c r="C213">
        <v>0.84280201041105696</v>
      </c>
      <c r="D213">
        <v>1.09906210734159</v>
      </c>
      <c r="E213">
        <v>1.24537784957817</v>
      </c>
      <c r="F213">
        <v>1.0141805779931801</v>
      </c>
      <c r="G213">
        <v>1.0750762879195801</v>
      </c>
      <c r="H213">
        <v>0.96196822832525597</v>
      </c>
      <c r="I213">
        <v>1.0815158858373699</v>
      </c>
      <c r="J213">
        <v>0.843116137138754</v>
      </c>
      <c r="K213">
        <v>1.0959881529348401</v>
      </c>
      <c r="L213">
        <v>15000</v>
      </c>
      <c r="M213">
        <v>212.848283960202</v>
      </c>
      <c r="Q213">
        <v>1.5</v>
      </c>
      <c r="R213">
        <v>1.8401969350264301E-2</v>
      </c>
      <c r="S213" t="s">
        <v>1539</v>
      </c>
      <c r="T213" t="s">
        <v>2650</v>
      </c>
      <c r="U213" t="s">
        <v>2650</v>
      </c>
      <c r="V213" t="s">
        <v>2650</v>
      </c>
      <c r="W213" t="s">
        <v>2863</v>
      </c>
      <c r="X213">
        <v>7</v>
      </c>
      <c r="Y213" t="s">
        <v>4183</v>
      </c>
      <c r="Z213" t="s">
        <v>5493</v>
      </c>
      <c r="AA213">
        <v>1.001149079320852</v>
      </c>
      <c r="AB213" t="str">
        <f>HYPERLINK("Melting_Curves/meltCurve_P02765_AHSG.pdf", "Melting_Curves/meltCurve_P02765_AHSG.pdf")</f>
        <v>Melting_Curves/meltCurve_P02765_AHSG.pdf</v>
      </c>
    </row>
    <row r="214" spans="1:28" x14ac:dyDescent="0.25">
      <c r="A214" t="s">
        <v>218</v>
      </c>
      <c r="B214">
        <v>1</v>
      </c>
      <c r="C214">
        <v>0.88465843443096503</v>
      </c>
      <c r="D214">
        <v>1.1197104274985601</v>
      </c>
      <c r="E214">
        <v>1.24980141536684</v>
      </c>
      <c r="F214">
        <v>1.2099220103986099</v>
      </c>
      <c r="G214">
        <v>1.202393847487</v>
      </c>
      <c r="H214">
        <v>1.1477469670710601</v>
      </c>
      <c r="I214">
        <v>1.42240756787984</v>
      </c>
      <c r="J214">
        <v>1.0579145002888499</v>
      </c>
      <c r="K214">
        <v>1.2365142980935899</v>
      </c>
      <c r="L214">
        <v>11490.9775669182</v>
      </c>
      <c r="M214">
        <v>250</v>
      </c>
      <c r="O214">
        <v>45.960969035251502</v>
      </c>
      <c r="P214">
        <v>0.29658329220307</v>
      </c>
      <c r="Q214">
        <v>1.21810008716762</v>
      </c>
      <c r="R214">
        <v>0.56387386947222295</v>
      </c>
      <c r="S214" t="s">
        <v>1540</v>
      </c>
      <c r="T214" t="s">
        <v>2650</v>
      </c>
      <c r="U214" t="s">
        <v>2650</v>
      </c>
      <c r="V214" t="s">
        <v>2650</v>
      </c>
      <c r="W214" t="s">
        <v>2864</v>
      </c>
      <c r="X214">
        <v>10</v>
      </c>
      <c r="Y214" t="s">
        <v>4184</v>
      </c>
      <c r="Z214" t="s">
        <v>5494</v>
      </c>
      <c r="AA214">
        <v>1.174724848942869</v>
      </c>
      <c r="AB214" t="str">
        <f>HYPERLINK("Melting_Curves/meltCurve_P02766_TTR.pdf", "Melting_Curves/meltCurve_P02766_TTR.pdf")</f>
        <v>Melting_Curves/meltCurve_P02766_TTR.pdf</v>
      </c>
    </row>
    <row r="215" spans="1:28" x14ac:dyDescent="0.25">
      <c r="A215" t="s">
        <v>219</v>
      </c>
      <c r="B215">
        <v>1</v>
      </c>
      <c r="C215">
        <v>0.83091798277099804</v>
      </c>
      <c r="D215">
        <v>1.19200915290739</v>
      </c>
      <c r="E215">
        <v>1.3605976310122001</v>
      </c>
      <c r="F215">
        <v>0.94103329145728598</v>
      </c>
      <c r="G215">
        <v>0.95270997846374705</v>
      </c>
      <c r="H215">
        <v>0.81668386575735796</v>
      </c>
      <c r="I215">
        <v>0.96510454055994299</v>
      </c>
      <c r="J215">
        <v>0.65072011844939004</v>
      </c>
      <c r="K215">
        <v>0.83908381191672698</v>
      </c>
      <c r="L215">
        <v>1444.84859172597</v>
      </c>
      <c r="M215">
        <v>23.966590081144702</v>
      </c>
      <c r="O215">
        <v>59.870936927134203</v>
      </c>
      <c r="P215">
        <v>-2.2208068955716399E-2</v>
      </c>
      <c r="Q215">
        <v>0.778091631946766</v>
      </c>
      <c r="R215">
        <v>0.32055537923127703</v>
      </c>
      <c r="S215" t="s">
        <v>1541</v>
      </c>
      <c r="T215" t="s">
        <v>2650</v>
      </c>
      <c r="U215" t="s">
        <v>2650</v>
      </c>
      <c r="V215" t="s">
        <v>2650</v>
      </c>
      <c r="W215" t="s">
        <v>2865</v>
      </c>
      <c r="X215">
        <v>16</v>
      </c>
      <c r="Y215" t="s">
        <v>4185</v>
      </c>
      <c r="Z215" t="s">
        <v>5495</v>
      </c>
      <c r="AA215">
        <v>0.92977666272754922</v>
      </c>
      <c r="AB215" t="str">
        <f>HYPERLINK("Melting_Curves/meltCurve_P02774_GC.pdf", "Melting_Curves/meltCurve_P02774_GC.pdf")</f>
        <v>Melting_Curves/meltCurve_P02774_GC.pdf</v>
      </c>
    </row>
    <row r="216" spans="1:28" x14ac:dyDescent="0.25">
      <c r="A216" t="s">
        <v>220</v>
      </c>
      <c r="B216">
        <v>1</v>
      </c>
      <c r="C216">
        <v>0.81420521945433</v>
      </c>
      <c r="D216">
        <v>1.2035290628707001</v>
      </c>
      <c r="E216">
        <v>1.2932384341637</v>
      </c>
      <c r="F216">
        <v>1.0503855278766301</v>
      </c>
      <c r="G216">
        <v>1.00877817319098</v>
      </c>
      <c r="H216">
        <v>1.0276393831554</v>
      </c>
      <c r="I216">
        <v>1.1740806642941899</v>
      </c>
      <c r="J216">
        <v>0.69854685646500603</v>
      </c>
      <c r="K216">
        <v>0.97642348754448405</v>
      </c>
      <c r="L216">
        <v>2961.8533976766598</v>
      </c>
      <c r="M216">
        <v>45.049231630138401</v>
      </c>
      <c r="O216">
        <v>65.617871876172899</v>
      </c>
      <c r="P216">
        <v>-2.31266429376174E-2</v>
      </c>
      <c r="Q216">
        <v>0.86525682396617198</v>
      </c>
      <c r="R216">
        <v>7.1172820967929498E-2</v>
      </c>
      <c r="S216" t="s">
        <v>1542</v>
      </c>
      <c r="T216" t="s">
        <v>2650</v>
      </c>
      <c r="U216" t="s">
        <v>2650</v>
      </c>
      <c r="V216" t="s">
        <v>2650</v>
      </c>
      <c r="W216" t="s">
        <v>2866</v>
      </c>
      <c r="X216">
        <v>1</v>
      </c>
      <c r="Y216" t="s">
        <v>4186</v>
      </c>
      <c r="Z216" t="s">
        <v>5496</v>
      </c>
      <c r="AA216">
        <v>0.98088964591109606</v>
      </c>
      <c r="AB216" t="str">
        <f>HYPERLINK("Melting_Curves/meltCurve_P02778_CXCL10.pdf", "Melting_Curves/meltCurve_P02778_CXCL10.pdf")</f>
        <v>Melting_Curves/meltCurve_P02778_CXCL10.pdf</v>
      </c>
    </row>
    <row r="217" spans="1:28" x14ac:dyDescent="0.25">
      <c r="A217" t="s">
        <v>221</v>
      </c>
      <c r="B217">
        <v>1</v>
      </c>
      <c r="C217">
        <v>0.81402080130735199</v>
      </c>
      <c r="D217">
        <v>1.15761629758888</v>
      </c>
      <c r="E217">
        <v>1.3846995443654999</v>
      </c>
      <c r="F217">
        <v>0.99551290041131701</v>
      </c>
      <c r="G217">
        <v>1.08472862741839</v>
      </c>
      <c r="H217">
        <v>0.93179331643746499</v>
      </c>
      <c r="I217">
        <v>1.11212209342585</v>
      </c>
      <c r="J217">
        <v>0.73859875081363302</v>
      </c>
      <c r="K217">
        <v>1.0100959740745401</v>
      </c>
      <c r="L217">
        <v>15000</v>
      </c>
      <c r="M217">
        <v>229.224635472107</v>
      </c>
      <c r="O217">
        <v>65.433036485517604</v>
      </c>
      <c r="P217">
        <v>-0.109737937499002</v>
      </c>
      <c r="Q217">
        <v>0.87469961546247899</v>
      </c>
      <c r="R217">
        <v>8.8124855626299195E-2</v>
      </c>
      <c r="S217" t="s">
        <v>1543</v>
      </c>
      <c r="T217" t="s">
        <v>2650</v>
      </c>
      <c r="U217" t="s">
        <v>2650</v>
      </c>
      <c r="V217" t="s">
        <v>2650</v>
      </c>
      <c r="W217" t="s">
        <v>2867</v>
      </c>
      <c r="X217">
        <v>51</v>
      </c>
      <c r="Y217" t="s">
        <v>4187</v>
      </c>
      <c r="Z217" t="s">
        <v>5497</v>
      </c>
      <c r="AA217">
        <v>0.98096307398365745</v>
      </c>
      <c r="AB217" t="str">
        <f>HYPERLINK("Melting_Curves/meltCurve_P02787_TF.pdf", "Melting_Curves/meltCurve_P02787_TF.pdf")</f>
        <v>Melting_Curves/meltCurve_P02787_TF.pdf</v>
      </c>
    </row>
    <row r="218" spans="1:28" x14ac:dyDescent="0.25">
      <c r="A218" t="s">
        <v>222</v>
      </c>
      <c r="B218">
        <v>1</v>
      </c>
      <c r="C218">
        <v>1.1463340983210499</v>
      </c>
      <c r="D218">
        <v>2.0497644643072799</v>
      </c>
      <c r="E218">
        <v>2.4519869549462499</v>
      </c>
      <c r="F218">
        <v>1.9032491846841399</v>
      </c>
      <c r="G218">
        <v>2.1203647783548698</v>
      </c>
      <c r="H218">
        <v>1.7986471796110599</v>
      </c>
      <c r="I218">
        <v>2.0213793936465798</v>
      </c>
      <c r="J218">
        <v>1.52880782703225</v>
      </c>
      <c r="K218">
        <v>1.9871965213189999</v>
      </c>
      <c r="L218">
        <v>10762.857435653001</v>
      </c>
      <c r="M218">
        <v>250</v>
      </c>
      <c r="O218">
        <v>43.048674856992797</v>
      </c>
      <c r="P218">
        <v>0.72592246399659899</v>
      </c>
      <c r="Q218">
        <v>1.5</v>
      </c>
      <c r="R218">
        <v>-0.29007154595982199</v>
      </c>
      <c r="S218" t="s">
        <v>1544</v>
      </c>
      <c r="T218" t="s">
        <v>2650</v>
      </c>
      <c r="U218" t="s">
        <v>2650</v>
      </c>
      <c r="V218" t="s">
        <v>2650</v>
      </c>
      <c r="W218" t="s">
        <v>2868</v>
      </c>
      <c r="X218">
        <v>75</v>
      </c>
      <c r="Y218" t="s">
        <v>4188</v>
      </c>
      <c r="Z218" t="s">
        <v>5498</v>
      </c>
      <c r="AA218">
        <v>1.449105060315719</v>
      </c>
      <c r="AB218" t="str">
        <f>HYPERLINK("Melting_Curves/meltCurve_P02788_LTF.pdf", "Melting_Curves/meltCurve_P02788_LTF.pdf")</f>
        <v>Melting_Curves/meltCurve_P02788_LTF.pdf</v>
      </c>
    </row>
    <row r="219" spans="1:28" x14ac:dyDescent="0.25">
      <c r="A219" t="s">
        <v>223</v>
      </c>
      <c r="B219">
        <v>1</v>
      </c>
      <c r="C219">
        <v>0.82456809635402495</v>
      </c>
      <c r="D219">
        <v>1.2746198702926601</v>
      </c>
      <c r="E219">
        <v>1.5571965774701599</v>
      </c>
      <c r="F219">
        <v>1.16562210474685</v>
      </c>
      <c r="G219">
        <v>1.26720802223554</v>
      </c>
      <c r="H219">
        <v>1.14235108180282</v>
      </c>
      <c r="I219">
        <v>1.3071012044253101</v>
      </c>
      <c r="J219">
        <v>0.86718622268243495</v>
      </c>
      <c r="K219">
        <v>1.17112649190692</v>
      </c>
      <c r="L219">
        <v>11126.0393800477</v>
      </c>
      <c r="M219">
        <v>250</v>
      </c>
      <c r="O219">
        <v>44.501307244793097</v>
      </c>
      <c r="P219">
        <v>0.30767035380754398</v>
      </c>
      <c r="Q219">
        <v>1.2190677382153801</v>
      </c>
      <c r="R219">
        <v>0.31558911163819098</v>
      </c>
      <c r="S219" t="s">
        <v>1545</v>
      </c>
      <c r="T219" t="s">
        <v>2650</v>
      </c>
      <c r="U219" t="s">
        <v>2650</v>
      </c>
      <c r="V219" t="s">
        <v>2650</v>
      </c>
      <c r="W219" t="s">
        <v>2869</v>
      </c>
      <c r="X219">
        <v>27</v>
      </c>
      <c r="Y219" t="s">
        <v>4189</v>
      </c>
      <c r="Z219" t="s">
        <v>5499</v>
      </c>
      <c r="AA219">
        <v>1.18616010810888</v>
      </c>
      <c r="AB219" t="str">
        <f>HYPERLINK("Melting_Curves/meltCurve_P02790_HPX.pdf", "Melting_Curves/meltCurve_P02790_HPX.pdf")</f>
        <v>Melting_Curves/meltCurve_P02790_HPX.pdf</v>
      </c>
    </row>
    <row r="220" spans="1:28" x14ac:dyDescent="0.25">
      <c r="A220" t="s">
        <v>224</v>
      </c>
      <c r="B220">
        <v>1</v>
      </c>
      <c r="C220">
        <v>1.0526512846913501</v>
      </c>
      <c r="D220">
        <v>1.1865493518041801</v>
      </c>
      <c r="E220">
        <v>1.3199794074975399</v>
      </c>
      <c r="F220">
        <v>1.23161885149998</v>
      </c>
      <c r="G220">
        <v>1.14101184068891</v>
      </c>
      <c r="H220">
        <v>1.0881265502878299</v>
      </c>
      <c r="I220">
        <v>1.10871905274489</v>
      </c>
      <c r="J220">
        <v>0.88936210043525099</v>
      </c>
      <c r="K220">
        <v>1.0658960078625901</v>
      </c>
      <c r="L220">
        <v>1.0000000000000001E-5</v>
      </c>
      <c r="M220">
        <v>1.0000000000000001E-5</v>
      </c>
      <c r="Q220">
        <v>1.2167818257580401</v>
      </c>
      <c r="R220">
        <v>-5.0501469672781199E-9</v>
      </c>
      <c r="S220" t="s">
        <v>1546</v>
      </c>
      <c r="T220" t="s">
        <v>2650</v>
      </c>
      <c r="U220" t="s">
        <v>2650</v>
      </c>
      <c r="V220" t="s">
        <v>2650</v>
      </c>
      <c r="W220" t="s">
        <v>2870</v>
      </c>
      <c r="X220">
        <v>2</v>
      </c>
      <c r="Y220" t="s">
        <v>4190</v>
      </c>
      <c r="Z220" t="s">
        <v>5500</v>
      </c>
      <c r="AA220">
        <v>1.1083914447240399</v>
      </c>
      <c r="AB220" t="str">
        <f>HYPERLINK("Melting_Curves/meltCurve_P02814_SMR3B.pdf", "Melting_Curves/meltCurve_P02814_SMR3B.pdf")</f>
        <v>Melting_Curves/meltCurve_P02814_SMR3B.pdf</v>
      </c>
    </row>
    <row r="221" spans="1:28" x14ac:dyDescent="0.25">
      <c r="A221" t="s">
        <v>225</v>
      </c>
      <c r="B221">
        <v>1</v>
      </c>
      <c r="C221">
        <v>0.76063230170116802</v>
      </c>
      <c r="D221">
        <v>1.26895880303341</v>
      </c>
      <c r="E221">
        <v>1.61662225865956</v>
      </c>
      <c r="F221">
        <v>1.2507942201270801</v>
      </c>
      <c r="G221">
        <v>1.24554211928674</v>
      </c>
      <c r="H221">
        <v>1.15410432465669</v>
      </c>
      <c r="I221">
        <v>1.32101865136298</v>
      </c>
      <c r="J221">
        <v>0.76083726173396204</v>
      </c>
      <c r="K221">
        <v>1.12336031973765</v>
      </c>
      <c r="L221">
        <v>11134.456043903599</v>
      </c>
      <c r="M221">
        <v>250</v>
      </c>
      <c r="O221">
        <v>44.534974148627299</v>
      </c>
      <c r="P221">
        <v>0.30546211139907398</v>
      </c>
      <c r="Q221">
        <v>1.21765995501691</v>
      </c>
      <c r="R221">
        <v>0.25286134308178199</v>
      </c>
      <c r="S221" t="s">
        <v>1547</v>
      </c>
      <c r="T221" t="s">
        <v>2650</v>
      </c>
      <c r="U221" t="s">
        <v>2650</v>
      </c>
      <c r="V221" t="s">
        <v>2650</v>
      </c>
      <c r="W221" t="s">
        <v>2871</v>
      </c>
      <c r="X221">
        <v>7</v>
      </c>
      <c r="Y221" t="s">
        <v>4191</v>
      </c>
      <c r="Z221" t="s">
        <v>5501</v>
      </c>
      <c r="AA221">
        <v>1.184719521822905</v>
      </c>
      <c r="AB221" t="str">
        <f>HYPERLINK("Melting_Curves/meltCurve_P03950_ANG.pdf", "Melting_Curves/meltCurve_P03950_ANG.pdf")</f>
        <v>Melting_Curves/meltCurve_P03950_ANG.pdf</v>
      </c>
    </row>
    <row r="222" spans="1:28" x14ac:dyDescent="0.25">
      <c r="A222" t="s">
        <v>226</v>
      </c>
      <c r="B222">
        <v>1</v>
      </c>
      <c r="C222">
        <v>1.00682973316391</v>
      </c>
      <c r="D222">
        <v>1.1241264294790301</v>
      </c>
      <c r="E222">
        <v>1.93305273189327</v>
      </c>
      <c r="F222">
        <v>2.0939485387547601</v>
      </c>
      <c r="G222">
        <v>2.13580050825921</v>
      </c>
      <c r="H222">
        <v>1.9668043202033001</v>
      </c>
      <c r="I222">
        <v>2.2329256670902198</v>
      </c>
      <c r="J222">
        <v>1.9471092757306201</v>
      </c>
      <c r="K222">
        <v>2.09585451080051</v>
      </c>
      <c r="L222">
        <v>11550.965795112001</v>
      </c>
      <c r="M222">
        <v>250</v>
      </c>
      <c r="O222">
        <v>46.200882136028603</v>
      </c>
      <c r="P222">
        <v>0.67639365349256297</v>
      </c>
      <c r="Q222">
        <v>1.5</v>
      </c>
      <c r="R222">
        <v>-3.9664335002151897E-3</v>
      </c>
      <c r="S222" t="s">
        <v>1548</v>
      </c>
      <c r="T222" t="s">
        <v>2650</v>
      </c>
      <c r="U222" t="s">
        <v>2650</v>
      </c>
      <c r="V222" t="s">
        <v>2650</v>
      </c>
      <c r="W222" t="s">
        <v>2872</v>
      </c>
      <c r="X222">
        <v>3</v>
      </c>
      <c r="Y222" t="s">
        <v>4192</v>
      </c>
      <c r="Z222" t="s">
        <v>5502</v>
      </c>
      <c r="AA222">
        <v>1.3965617367954719</v>
      </c>
      <c r="AB222" t="str">
        <f>HYPERLINK("Melting_Curves/meltCurve_P03952_KLKB1.pdf", "Melting_Curves/meltCurve_P03952_KLKB1.pdf")</f>
        <v>Melting_Curves/meltCurve_P03952_KLKB1.pdf</v>
      </c>
    </row>
    <row r="223" spans="1:28" x14ac:dyDescent="0.25">
      <c r="A223" t="s">
        <v>227</v>
      </c>
      <c r="B223">
        <v>1</v>
      </c>
      <c r="C223">
        <v>0.60801675142087896</v>
      </c>
      <c r="D223">
        <v>1.0426562967394599</v>
      </c>
      <c r="E223">
        <v>1.14717319772659</v>
      </c>
      <c r="F223">
        <v>0.81220460664074201</v>
      </c>
      <c r="G223">
        <v>0.844690397846246</v>
      </c>
      <c r="H223">
        <v>0.91151660185462202</v>
      </c>
      <c r="I223">
        <v>0.85617708644929702</v>
      </c>
      <c r="J223">
        <v>0.51070894406222</v>
      </c>
      <c r="K223">
        <v>0.738797487286868</v>
      </c>
      <c r="L223">
        <v>374.94559656995602</v>
      </c>
      <c r="M223">
        <v>4.66295518306468</v>
      </c>
      <c r="O223">
        <v>68.985729641756095</v>
      </c>
      <c r="P223">
        <v>-1.70294779142987E-2</v>
      </c>
      <c r="Q223">
        <v>0</v>
      </c>
      <c r="R223">
        <v>0.220967360033449</v>
      </c>
      <c r="S223" t="s">
        <v>1549</v>
      </c>
      <c r="T223" t="s">
        <v>2650</v>
      </c>
      <c r="U223" t="s">
        <v>2650</v>
      </c>
      <c r="V223" t="s">
        <v>2650</v>
      </c>
      <c r="W223" t="s">
        <v>2873</v>
      </c>
      <c r="X223">
        <v>7</v>
      </c>
      <c r="Y223" t="s">
        <v>4193</v>
      </c>
      <c r="Z223" t="s">
        <v>5503</v>
      </c>
      <c r="AA223">
        <v>0.87204661015959251</v>
      </c>
      <c r="AB223" t="str">
        <f>HYPERLINK("Melting_Curves/meltCurve_P03973_SLPI.pdf", "Melting_Curves/meltCurve_P03973_SLPI.pdf")</f>
        <v>Melting_Curves/meltCurve_P03973_SLPI.pdf</v>
      </c>
    </row>
    <row r="224" spans="1:28" x14ac:dyDescent="0.25">
      <c r="A224" t="s">
        <v>228</v>
      </c>
      <c r="B224">
        <v>1</v>
      </c>
      <c r="C224">
        <v>0.85005656908499505</v>
      </c>
      <c r="D224">
        <v>1.24763116956583</v>
      </c>
      <c r="E224">
        <v>1.7736529486635599</v>
      </c>
      <c r="F224">
        <v>1.63661434026305</v>
      </c>
      <c r="G224">
        <v>1.8110239004384101</v>
      </c>
      <c r="H224">
        <v>1.58046952340546</v>
      </c>
      <c r="I224">
        <v>1.9582449441380301</v>
      </c>
      <c r="J224">
        <v>1.3499151463725101</v>
      </c>
      <c r="K224">
        <v>1.69717861688587</v>
      </c>
      <c r="L224">
        <v>11500.8717581888</v>
      </c>
      <c r="M224">
        <v>250</v>
      </c>
      <c r="O224">
        <v>46.0005430983705</v>
      </c>
      <c r="P224">
        <v>0.67933980602567201</v>
      </c>
      <c r="Q224">
        <v>1.5</v>
      </c>
      <c r="R224">
        <v>0.59227879999990196</v>
      </c>
      <c r="S224" t="s">
        <v>1550</v>
      </c>
      <c r="T224" t="s">
        <v>2650</v>
      </c>
      <c r="U224" t="s">
        <v>2650</v>
      </c>
      <c r="V224" t="s">
        <v>2650</v>
      </c>
      <c r="W224" t="s">
        <v>2874</v>
      </c>
      <c r="X224">
        <v>10</v>
      </c>
      <c r="Y224" t="s">
        <v>4194</v>
      </c>
      <c r="Z224" t="s">
        <v>5504</v>
      </c>
      <c r="AA224">
        <v>1.3999015150855281</v>
      </c>
      <c r="AB224" t="str">
        <f>HYPERLINK("Melting_Curves/meltCurve_P04004_VTN.pdf", "Melting_Curves/meltCurve_P04004_VTN.pdf")</f>
        <v>Melting_Curves/meltCurve_P04004_VTN.pdf</v>
      </c>
    </row>
    <row r="225" spans="1:28" x14ac:dyDescent="0.25">
      <c r="A225" t="s">
        <v>229</v>
      </c>
      <c r="B225">
        <v>1</v>
      </c>
      <c r="C225">
        <v>1.0640755704774401</v>
      </c>
      <c r="D225">
        <v>1.3923632845843099</v>
      </c>
      <c r="E225">
        <v>1.8797587207648101</v>
      </c>
      <c r="F225">
        <v>1.49871962670005</v>
      </c>
      <c r="G225">
        <v>1.75399760996984</v>
      </c>
      <c r="H225">
        <v>1.78307631024868</v>
      </c>
      <c r="I225">
        <v>2.73129232345075</v>
      </c>
      <c r="J225">
        <v>1.9665964832413401</v>
      </c>
      <c r="K225">
        <v>2.61270130313549</v>
      </c>
      <c r="L225">
        <v>2401.8091478055799</v>
      </c>
      <c r="M225">
        <v>53.737645623827603</v>
      </c>
      <c r="O225">
        <v>44.633335722847299</v>
      </c>
      <c r="P225">
        <v>0.15049763195805399</v>
      </c>
      <c r="Q225">
        <v>1.5</v>
      </c>
      <c r="R225">
        <v>-9.0177225319197502E-2</v>
      </c>
      <c r="S225" t="s">
        <v>1551</v>
      </c>
      <c r="T225" t="s">
        <v>2650</v>
      </c>
      <c r="U225" t="s">
        <v>2650</v>
      </c>
      <c r="V225" t="s">
        <v>2650</v>
      </c>
      <c r="W225" t="s">
        <v>2875</v>
      </c>
      <c r="X225">
        <v>3</v>
      </c>
      <c r="Y225" t="s">
        <v>4195</v>
      </c>
      <c r="Z225" t="s">
        <v>5505</v>
      </c>
      <c r="AA225">
        <v>1.4208760942345151</v>
      </c>
      <c r="AB225" t="str">
        <f>HYPERLINK("Melting_Curves/meltCurve_P04062_4_GBA.pdf", "Melting_Curves/meltCurve_P04062_4_GBA.pdf")</f>
        <v>Melting_Curves/meltCurve_P04062_4_GBA.pdf</v>
      </c>
    </row>
    <row r="226" spans="1:28" x14ac:dyDescent="0.25">
      <c r="A226" t="s">
        <v>230</v>
      </c>
      <c r="B226">
        <v>1</v>
      </c>
      <c r="C226">
        <v>0.815195599022005</v>
      </c>
      <c r="D226">
        <v>1.19020782396088</v>
      </c>
      <c r="E226">
        <v>1.55953545232274</v>
      </c>
      <c r="F226">
        <v>1.6998777506112499</v>
      </c>
      <c r="G226">
        <v>2.2788508557457199</v>
      </c>
      <c r="H226">
        <v>2.2918092909535499</v>
      </c>
      <c r="I226">
        <v>2.9872860635696799</v>
      </c>
      <c r="J226">
        <v>2.04266503667482</v>
      </c>
      <c r="K226">
        <v>2.8135696821515901</v>
      </c>
      <c r="L226">
        <v>11522.438084326201</v>
      </c>
      <c r="M226">
        <v>250</v>
      </c>
      <c r="O226">
        <v>46.086801253600001</v>
      </c>
      <c r="P226">
        <v>0.67806829874007202</v>
      </c>
      <c r="Q226">
        <v>1.5</v>
      </c>
      <c r="R226">
        <v>-0.115226036474028</v>
      </c>
      <c r="S226" t="s">
        <v>1552</v>
      </c>
      <c r="T226" t="s">
        <v>2650</v>
      </c>
      <c r="U226" t="s">
        <v>2650</v>
      </c>
      <c r="V226" t="s">
        <v>2650</v>
      </c>
      <c r="W226" t="s">
        <v>2876</v>
      </c>
      <c r="X226">
        <v>6</v>
      </c>
      <c r="Y226" t="s">
        <v>4196</v>
      </c>
      <c r="Z226" t="s">
        <v>5506</v>
      </c>
      <c r="AA226">
        <v>1.398463684312568</v>
      </c>
      <c r="AB226" t="str">
        <f>HYPERLINK("Melting_Curves/meltCurve_P04066_FUCA1.pdf", "Melting_Curves/meltCurve_P04066_FUCA1.pdf")</f>
        <v>Melting_Curves/meltCurve_P04066_FUCA1.pdf</v>
      </c>
    </row>
    <row r="227" spans="1:28" x14ac:dyDescent="0.25">
      <c r="A227" t="s">
        <v>231</v>
      </c>
      <c r="B227">
        <v>1</v>
      </c>
      <c r="C227">
        <v>0.81185700192605803</v>
      </c>
      <c r="D227">
        <v>1.5897965894677499</v>
      </c>
      <c r="E227">
        <v>2.2459482313148902</v>
      </c>
      <c r="F227">
        <v>1.7095410344341599</v>
      </c>
      <c r="G227">
        <v>2.0987692018602901</v>
      </c>
      <c r="H227">
        <v>1.7341569972283599</v>
      </c>
      <c r="I227">
        <v>2.18445530135764</v>
      </c>
      <c r="J227">
        <v>1.4072673462676799</v>
      </c>
      <c r="K227">
        <v>1.9619486071311101</v>
      </c>
      <c r="L227">
        <v>11116.9076367096</v>
      </c>
      <c r="M227">
        <v>250</v>
      </c>
      <c r="O227">
        <v>44.4647682646455</v>
      </c>
      <c r="P227">
        <v>0.70280335391111404</v>
      </c>
      <c r="Q227">
        <v>1.5</v>
      </c>
      <c r="R227">
        <v>0.18015435320471301</v>
      </c>
      <c r="S227" t="s">
        <v>1553</v>
      </c>
      <c r="T227" t="s">
        <v>2650</v>
      </c>
      <c r="U227" t="s">
        <v>2650</v>
      </c>
      <c r="V227" t="s">
        <v>2650</v>
      </c>
      <c r="W227" t="s">
        <v>2877</v>
      </c>
      <c r="X227">
        <v>18</v>
      </c>
      <c r="Y227" t="s">
        <v>4197</v>
      </c>
      <c r="Z227" t="s">
        <v>5507</v>
      </c>
      <c r="AA227">
        <v>1.4255004708862551</v>
      </c>
      <c r="AB227" t="str">
        <f>HYPERLINK("Melting_Curves/meltCurve_P04075_ALDOA.pdf", "Melting_Curves/meltCurve_P04075_ALDOA.pdf")</f>
        <v>Melting_Curves/meltCurve_P04075_ALDOA.pdf</v>
      </c>
    </row>
    <row r="228" spans="1:28" x14ac:dyDescent="0.25">
      <c r="A228" t="s">
        <v>232</v>
      </c>
      <c r="B228">
        <v>1</v>
      </c>
      <c r="C228">
        <v>0.91430352134621395</v>
      </c>
      <c r="D228">
        <v>1.18144281707697</v>
      </c>
      <c r="E228">
        <v>1.1417887192271701</v>
      </c>
      <c r="F228">
        <v>1.1554222499220901</v>
      </c>
      <c r="G228">
        <v>1.19040199439078</v>
      </c>
      <c r="H228">
        <v>1.1094577750077901</v>
      </c>
      <c r="I228">
        <v>1.13984107198504</v>
      </c>
      <c r="J228">
        <v>1.0955126207541299</v>
      </c>
      <c r="K228">
        <v>1.2094110314739801</v>
      </c>
      <c r="L228">
        <v>11124.928160188299</v>
      </c>
      <c r="M228">
        <v>250</v>
      </c>
      <c r="O228">
        <v>44.496864654843201</v>
      </c>
      <c r="P228">
        <v>0.21478099790315999</v>
      </c>
      <c r="Q228">
        <v>1.15291329675604</v>
      </c>
      <c r="R228">
        <v>0.75956906608737795</v>
      </c>
      <c r="S228" t="s">
        <v>1554</v>
      </c>
      <c r="T228" t="s">
        <v>2650</v>
      </c>
      <c r="U228" t="s">
        <v>2650</v>
      </c>
      <c r="V228" t="s">
        <v>2650</v>
      </c>
      <c r="W228" t="s">
        <v>2878</v>
      </c>
      <c r="X228">
        <v>4</v>
      </c>
      <c r="Y228" t="s">
        <v>4198</v>
      </c>
      <c r="Z228" t="s">
        <v>5508</v>
      </c>
      <c r="AA228">
        <v>1.1299658249811191</v>
      </c>
      <c r="AB228" t="str">
        <f>HYPERLINK("Melting_Curves/meltCurve_P04080_CSTB.pdf", "Melting_Curves/meltCurve_P04080_CSTB.pdf")</f>
        <v>Melting_Curves/meltCurve_P04080_CSTB.pdf</v>
      </c>
    </row>
    <row r="229" spans="1:28" x14ac:dyDescent="0.25">
      <c r="A229" t="s">
        <v>233</v>
      </c>
      <c r="B229">
        <v>1</v>
      </c>
      <c r="C229">
        <v>0.74484930274404004</v>
      </c>
      <c r="D229">
        <v>1.1395861448493001</v>
      </c>
      <c r="E229">
        <v>1.3849527665317101</v>
      </c>
      <c r="F229">
        <v>1.2865272154745799</v>
      </c>
      <c r="G229">
        <v>2.6196581196581201</v>
      </c>
      <c r="H229">
        <v>3.8508771929824599</v>
      </c>
      <c r="I229">
        <v>4.8571749887539397</v>
      </c>
      <c r="J229">
        <v>3.35582546108862</v>
      </c>
      <c r="K229">
        <v>4.6239316239316199</v>
      </c>
      <c r="L229">
        <v>1826.9824679773501</v>
      </c>
      <c r="M229">
        <v>38.0627908258353</v>
      </c>
      <c r="O229">
        <v>47.8672536707547</v>
      </c>
      <c r="P229">
        <v>9.9396983946995698E-2</v>
      </c>
      <c r="Q229">
        <v>1.5</v>
      </c>
      <c r="R229">
        <v>-0.39209169722951798</v>
      </c>
      <c r="S229" t="s">
        <v>1555</v>
      </c>
      <c r="T229" t="s">
        <v>2650</v>
      </c>
      <c r="U229" t="s">
        <v>2650</v>
      </c>
      <c r="V229" t="s">
        <v>2650</v>
      </c>
      <c r="W229" t="s">
        <v>2879</v>
      </c>
      <c r="X229">
        <v>17</v>
      </c>
      <c r="Y229" t="s">
        <v>4199</v>
      </c>
      <c r="Z229" t="s">
        <v>5509</v>
      </c>
      <c r="AA229">
        <v>1.3648395292055471</v>
      </c>
      <c r="AB229" t="str">
        <f>HYPERLINK("Melting_Curves/meltCurve_P04083_ANXA1.pdf", "Melting_Curves/meltCurve_P04083_ANXA1.pdf")</f>
        <v>Melting_Curves/meltCurve_P04083_ANXA1.pdf</v>
      </c>
    </row>
    <row r="230" spans="1:28" x14ac:dyDescent="0.25">
      <c r="A230" t="s">
        <v>234</v>
      </c>
      <c r="B230">
        <v>1</v>
      </c>
      <c r="C230">
        <v>0.72046850449935695</v>
      </c>
      <c r="D230">
        <v>1.09898585916298</v>
      </c>
      <c r="E230">
        <v>1.1872589630052801</v>
      </c>
      <c r="F230">
        <v>0.88937294672189704</v>
      </c>
      <c r="G230">
        <v>0.96421939722896699</v>
      </c>
      <c r="H230">
        <v>0.92101128410227096</v>
      </c>
      <c r="I230">
        <v>1.0000714183688</v>
      </c>
      <c r="J230">
        <v>0.64863590915583502</v>
      </c>
      <c r="K230">
        <v>0.86116269104413701</v>
      </c>
      <c r="L230">
        <v>15000</v>
      </c>
      <c r="M230">
        <v>230.61702396604801</v>
      </c>
      <c r="O230">
        <v>65.0380078492731</v>
      </c>
      <c r="P230">
        <v>-0.217289542457897</v>
      </c>
      <c r="Q230">
        <v>0.75488229167995402</v>
      </c>
      <c r="R230">
        <v>0.29676111647049402</v>
      </c>
      <c r="S230" t="s">
        <v>1556</v>
      </c>
      <c r="T230" t="s">
        <v>2650</v>
      </c>
      <c r="U230" t="s">
        <v>2650</v>
      </c>
      <c r="V230" t="s">
        <v>2650</v>
      </c>
      <c r="W230" t="s">
        <v>2880</v>
      </c>
      <c r="X230">
        <v>4</v>
      </c>
      <c r="Y230" t="s">
        <v>4200</v>
      </c>
      <c r="Z230" t="s">
        <v>5510</v>
      </c>
      <c r="AA230">
        <v>0.9595304480061565</v>
      </c>
      <c r="AB230" t="str">
        <f>HYPERLINK("Melting_Curves/meltCurve_P04085_2_PDGFA.pdf", "Melting_Curves/meltCurve_P04085_2_PDGFA.pdf")</f>
        <v>Melting_Curves/meltCurve_P04085_2_PDGFA.pdf</v>
      </c>
    </row>
    <row r="231" spans="1:28" x14ac:dyDescent="0.25">
      <c r="A231" t="s">
        <v>235</v>
      </c>
      <c r="B231">
        <v>1</v>
      </c>
      <c r="C231">
        <v>0.68753240980813402</v>
      </c>
      <c r="D231">
        <v>1.05985628565079</v>
      </c>
      <c r="E231">
        <v>1.21475664864064</v>
      </c>
      <c r="F231">
        <v>0.86524927772427596</v>
      </c>
      <c r="G231">
        <v>0.98377657604266999</v>
      </c>
      <c r="H231">
        <v>0.78731757907993205</v>
      </c>
      <c r="I231">
        <v>0.96999777761315698</v>
      </c>
      <c r="J231">
        <v>0.65947107193125398</v>
      </c>
      <c r="K231">
        <v>0.861026742721683</v>
      </c>
      <c r="L231">
        <v>1364.4426321528499</v>
      </c>
      <c r="M231">
        <v>23.124588450759699</v>
      </c>
      <c r="O231">
        <v>58.568038354084202</v>
      </c>
      <c r="P231">
        <v>-2.00652616700693E-2</v>
      </c>
      <c r="Q231">
        <v>0.79672520439472205</v>
      </c>
      <c r="R231">
        <v>0.17597464723256701</v>
      </c>
      <c r="S231" t="s">
        <v>1557</v>
      </c>
      <c r="T231" t="s">
        <v>2650</v>
      </c>
      <c r="U231" t="s">
        <v>2650</v>
      </c>
      <c r="V231" t="s">
        <v>2650</v>
      </c>
      <c r="W231" t="s">
        <v>2881</v>
      </c>
      <c r="X231">
        <v>2</v>
      </c>
      <c r="Y231" t="s">
        <v>4201</v>
      </c>
      <c r="Z231" t="s">
        <v>5511</v>
      </c>
      <c r="AA231">
        <v>0.92730652638188382</v>
      </c>
      <c r="AB231" t="str">
        <f>HYPERLINK("Melting_Curves/meltCurve_P04155_TFF1.pdf", "Melting_Curves/meltCurve_P04155_TFF1.pdf")</f>
        <v>Melting_Curves/meltCurve_P04155_TFF1.pdf</v>
      </c>
    </row>
    <row r="232" spans="1:28" x14ac:dyDescent="0.25">
      <c r="A232" t="s">
        <v>236</v>
      </c>
      <c r="B232">
        <v>1</v>
      </c>
      <c r="C232">
        <v>1.0379595496662299</v>
      </c>
      <c r="D232">
        <v>1.1819268705788599</v>
      </c>
      <c r="E232">
        <v>1.26511905947992</v>
      </c>
      <c r="F232">
        <v>1.2388661950782101</v>
      </c>
      <c r="G232">
        <v>1.2615323303776</v>
      </c>
      <c r="H232">
        <v>1.0598784497359801</v>
      </c>
      <c r="I232">
        <v>1.28479625386072</v>
      </c>
      <c r="J232">
        <v>1.0316329580551999</v>
      </c>
      <c r="K232">
        <v>1.17266115373119</v>
      </c>
      <c r="L232">
        <v>3162.3208630691402</v>
      </c>
      <c r="M232">
        <v>72.339331194408402</v>
      </c>
      <c r="O232">
        <v>43.681725871122097</v>
      </c>
      <c r="P232">
        <v>7.7704361942723205E-2</v>
      </c>
      <c r="Q232">
        <v>1.1876854425563099</v>
      </c>
      <c r="R232">
        <v>0.41630795528581199</v>
      </c>
      <c r="S232" t="s">
        <v>1558</v>
      </c>
      <c r="T232" t="s">
        <v>2650</v>
      </c>
      <c r="U232" t="s">
        <v>2650</v>
      </c>
      <c r="V232" t="s">
        <v>2650</v>
      </c>
      <c r="W232" t="s">
        <v>2882</v>
      </c>
      <c r="X232">
        <v>9</v>
      </c>
      <c r="Y232" t="s">
        <v>4202</v>
      </c>
      <c r="Z232" t="s">
        <v>5512</v>
      </c>
      <c r="AA232">
        <v>1.164267000492905</v>
      </c>
      <c r="AB232" t="str">
        <f>HYPERLINK("Melting_Curves/meltCurve_P04196_HRG.pdf", "Melting_Curves/meltCurve_P04196_HRG.pdf")</f>
        <v>Melting_Curves/meltCurve_P04196_HRG.pdf</v>
      </c>
    </row>
    <row r="233" spans="1:28" x14ac:dyDescent="0.25">
      <c r="A233" t="s">
        <v>237</v>
      </c>
      <c r="B233">
        <v>1</v>
      </c>
      <c r="C233">
        <v>0.76252313570959496</v>
      </c>
      <c r="D233">
        <v>1.03862917189086</v>
      </c>
      <c r="E233">
        <v>1.1976237387306701</v>
      </c>
      <c r="F233">
        <v>0.96381873544689201</v>
      </c>
      <c r="G233">
        <v>1.09436384261747</v>
      </c>
      <c r="H233">
        <v>0.92423428264373997</v>
      </c>
      <c r="I233">
        <v>1.1706669054868899</v>
      </c>
      <c r="J233">
        <v>0.79795808704997295</v>
      </c>
      <c r="K233">
        <v>1.0598841721893799</v>
      </c>
      <c r="L233">
        <v>1313.2687705831299</v>
      </c>
      <c r="M233">
        <v>19.765505740798201</v>
      </c>
      <c r="O233">
        <v>65.773559110786195</v>
      </c>
      <c r="P233">
        <v>-1.4095643879714201E-3</v>
      </c>
      <c r="Q233">
        <v>0.98123824281496497</v>
      </c>
      <c r="R233">
        <v>1.8674246574278399E-3</v>
      </c>
      <c r="S233" t="s">
        <v>1559</v>
      </c>
      <c r="T233" t="s">
        <v>2650</v>
      </c>
      <c r="U233" t="s">
        <v>2650</v>
      </c>
      <c r="V233" t="s">
        <v>2650</v>
      </c>
      <c r="W233" t="s">
        <v>2883</v>
      </c>
      <c r="X233">
        <v>14</v>
      </c>
      <c r="Y233" t="s">
        <v>4203</v>
      </c>
      <c r="Z233" t="s">
        <v>5513</v>
      </c>
      <c r="AA233">
        <v>0.99730831519678287</v>
      </c>
      <c r="AB233" t="str">
        <f>HYPERLINK("Melting_Curves/meltCurve_P04217_A1BG.pdf", "Melting_Curves/meltCurve_P04217_A1BG.pdf")</f>
        <v>Melting_Curves/meltCurve_P04217_A1BG.pdf</v>
      </c>
    </row>
    <row r="234" spans="1:28" x14ac:dyDescent="0.25">
      <c r="A234" t="s">
        <v>238</v>
      </c>
      <c r="B234">
        <v>1</v>
      </c>
      <c r="C234">
        <v>0.96443974285946799</v>
      </c>
      <c r="D234">
        <v>3.9404345349499601</v>
      </c>
      <c r="E234">
        <v>2.6834567499389701</v>
      </c>
      <c r="F234">
        <v>1.18390430466271</v>
      </c>
      <c r="G234">
        <v>1.76889901537961</v>
      </c>
      <c r="H234">
        <v>1.3977540890227</v>
      </c>
      <c r="I234">
        <v>2.0264464154935302</v>
      </c>
      <c r="J234">
        <v>1.91154691187241</v>
      </c>
      <c r="K234">
        <v>1.50972414354301</v>
      </c>
      <c r="L234">
        <v>1.0000000000000001E-5</v>
      </c>
      <c r="M234">
        <v>31.540739426488901</v>
      </c>
      <c r="Q234">
        <v>1.5</v>
      </c>
      <c r="R234">
        <v>-0.15550279696674801</v>
      </c>
      <c r="S234" t="s">
        <v>1560</v>
      </c>
      <c r="T234" t="s">
        <v>2650</v>
      </c>
      <c r="U234" t="s">
        <v>2650</v>
      </c>
      <c r="V234" t="s">
        <v>2650</v>
      </c>
      <c r="W234" t="s">
        <v>2884</v>
      </c>
      <c r="X234">
        <v>12</v>
      </c>
      <c r="Y234" t="s">
        <v>4204</v>
      </c>
      <c r="Z234" t="s">
        <v>5514</v>
      </c>
      <c r="AA234">
        <v>1.49999999999999</v>
      </c>
      <c r="AB234" t="str">
        <f>HYPERLINK("Melting_Curves/meltCurve_P04259_KRT6B.pdf", "Melting_Curves/meltCurve_P04259_KRT6B.pdf")</f>
        <v>Melting_Curves/meltCurve_P04259_KRT6B.pdf</v>
      </c>
    </row>
    <row r="235" spans="1:28" x14ac:dyDescent="0.25">
      <c r="A235" t="s">
        <v>239</v>
      </c>
      <c r="B235">
        <v>1</v>
      </c>
      <c r="C235">
        <v>0.87529472729628199</v>
      </c>
      <c r="D235">
        <v>1.2966705531804601</v>
      </c>
      <c r="E235">
        <v>1.41728203135121</v>
      </c>
      <c r="F235">
        <v>1.4803731053245199</v>
      </c>
      <c r="G235">
        <v>1.1749967612384999</v>
      </c>
      <c r="H235">
        <v>1.35665241611608</v>
      </c>
      <c r="I235">
        <v>2.1162067625340102</v>
      </c>
      <c r="J235">
        <v>1.03521181500194</v>
      </c>
      <c r="K235">
        <v>1.6078507578701899</v>
      </c>
      <c r="L235">
        <v>11471.2626545565</v>
      </c>
      <c r="M235">
        <v>250</v>
      </c>
      <c r="O235">
        <v>45.882094281273297</v>
      </c>
      <c r="P235">
        <v>0.62049031632225804</v>
      </c>
      <c r="Q235">
        <v>1.45551052246305</v>
      </c>
      <c r="R235">
        <v>0.35638317384433799</v>
      </c>
      <c r="S235" t="s">
        <v>1561</v>
      </c>
      <c r="T235" t="s">
        <v>2650</v>
      </c>
      <c r="U235" t="s">
        <v>2650</v>
      </c>
      <c r="V235" t="s">
        <v>2650</v>
      </c>
      <c r="W235" t="s">
        <v>2885</v>
      </c>
      <c r="X235">
        <v>3</v>
      </c>
      <c r="Y235" t="s">
        <v>4205</v>
      </c>
      <c r="Z235" t="s">
        <v>5515</v>
      </c>
      <c r="AA235">
        <v>1.3661170919224901</v>
      </c>
      <c r="AB235" t="str">
        <f>HYPERLINK("Melting_Curves/meltCurve_P04275_VWF.pdf", "Melting_Curves/meltCurve_P04275_VWF.pdf")</f>
        <v>Melting_Curves/meltCurve_P04275_VWF.pdf</v>
      </c>
    </row>
    <row r="236" spans="1:28" x14ac:dyDescent="0.25">
      <c r="A236" t="s">
        <v>240</v>
      </c>
      <c r="B236">
        <v>1</v>
      </c>
      <c r="C236">
        <v>0.64925037481259396</v>
      </c>
      <c r="D236">
        <v>1.0560344827586201</v>
      </c>
      <c r="E236">
        <v>1.14617691154423</v>
      </c>
      <c r="F236">
        <v>0.85426349325337303</v>
      </c>
      <c r="G236">
        <v>0.84215704647676204</v>
      </c>
      <c r="H236">
        <v>0.872282608695652</v>
      </c>
      <c r="I236">
        <v>0.94799475262368804</v>
      </c>
      <c r="J236">
        <v>0.50372001499250396</v>
      </c>
      <c r="K236">
        <v>0.76962143928035998</v>
      </c>
      <c r="L236">
        <v>410.80370557290598</v>
      </c>
      <c r="M236">
        <v>5.0957417231042301</v>
      </c>
      <c r="Q236">
        <v>0</v>
      </c>
      <c r="R236">
        <v>0.223959794824523</v>
      </c>
      <c r="S236" t="s">
        <v>1562</v>
      </c>
      <c r="T236" t="s">
        <v>2650</v>
      </c>
      <c r="U236" t="s">
        <v>2650</v>
      </c>
      <c r="V236" t="s">
        <v>2650</v>
      </c>
      <c r="W236" t="s">
        <v>2886</v>
      </c>
      <c r="X236">
        <v>66</v>
      </c>
      <c r="Y236" t="s">
        <v>4206</v>
      </c>
      <c r="Z236" t="s">
        <v>5516</v>
      </c>
      <c r="AA236">
        <v>0.88770305678755834</v>
      </c>
      <c r="AB236" t="str">
        <f>HYPERLINK("Melting_Curves/meltCurve_P04279_SEMG1.pdf", "Melting_Curves/meltCurve_P04279_SEMG1.pdf")</f>
        <v>Melting_Curves/meltCurve_P04279_SEMG1.pdf</v>
      </c>
    </row>
    <row r="237" spans="1:28" x14ac:dyDescent="0.25">
      <c r="A237" t="s">
        <v>241</v>
      </c>
      <c r="B237">
        <v>1</v>
      </c>
      <c r="C237">
        <v>0.78406179076067095</v>
      </c>
      <c r="D237">
        <v>0.98748078190204303</v>
      </c>
      <c r="E237">
        <v>1.1049125118969201</v>
      </c>
      <c r="F237">
        <v>0.93118090636210604</v>
      </c>
      <c r="G237">
        <v>0.83593235229519003</v>
      </c>
      <c r="H237">
        <v>0.90555677575225102</v>
      </c>
      <c r="I237">
        <v>0.91243868511604098</v>
      </c>
      <c r="J237">
        <v>0.557764111574786</v>
      </c>
      <c r="K237">
        <v>0.80869756204700205</v>
      </c>
      <c r="L237">
        <v>719.312682845464</v>
      </c>
      <c r="M237">
        <v>11.409818141049501</v>
      </c>
      <c r="O237">
        <v>61.199936750796297</v>
      </c>
      <c r="P237">
        <v>-1.7130439750116602E-2</v>
      </c>
      <c r="Q237">
        <v>0.63257086670156004</v>
      </c>
      <c r="R237">
        <v>0.34857267001459402</v>
      </c>
      <c r="S237" t="s">
        <v>1563</v>
      </c>
      <c r="T237" t="s">
        <v>2650</v>
      </c>
      <c r="U237" t="s">
        <v>2650</v>
      </c>
      <c r="V237" t="s">
        <v>2650</v>
      </c>
      <c r="W237" t="s">
        <v>2887</v>
      </c>
      <c r="X237">
        <v>3</v>
      </c>
      <c r="Y237" t="s">
        <v>4207</v>
      </c>
      <c r="Z237" t="s">
        <v>5517</v>
      </c>
      <c r="AA237">
        <v>0.90633238498291924</v>
      </c>
      <c r="AB237" t="str">
        <f>HYPERLINK("Melting_Curves/meltCurve_P04350_TUBB4A.pdf", "Melting_Curves/meltCurve_P04350_TUBB4A.pdf")</f>
        <v>Melting_Curves/meltCurve_P04350_TUBB4A.pdf</v>
      </c>
    </row>
    <row r="238" spans="1:28" x14ac:dyDescent="0.25">
      <c r="A238" t="s">
        <v>242</v>
      </c>
      <c r="B238">
        <v>1</v>
      </c>
      <c r="C238">
        <v>0.88150266971777302</v>
      </c>
      <c r="D238">
        <v>1.20432875667429</v>
      </c>
      <c r="E238">
        <v>1.4506102212051899</v>
      </c>
      <c r="F238">
        <v>1.19412662090008</v>
      </c>
      <c r="G238">
        <v>1.5796147978642301</v>
      </c>
      <c r="H238">
        <v>1.3805301296720101</v>
      </c>
      <c r="I238">
        <v>1.9330663615560599</v>
      </c>
      <c r="J238">
        <v>1.36231884057971</v>
      </c>
      <c r="K238">
        <v>1.7000381388253201</v>
      </c>
      <c r="L238">
        <v>1007.8774412742</v>
      </c>
      <c r="M238">
        <v>21.0138954194014</v>
      </c>
      <c r="O238">
        <v>47.534436365838502</v>
      </c>
      <c r="P238">
        <v>5.5261164976848798E-2</v>
      </c>
      <c r="Q238">
        <v>1.5</v>
      </c>
      <c r="R238">
        <v>0.593802617824011</v>
      </c>
      <c r="S238" t="s">
        <v>1564</v>
      </c>
      <c r="T238" t="s">
        <v>2650</v>
      </c>
      <c r="U238" t="s">
        <v>2650</v>
      </c>
      <c r="V238" t="s">
        <v>2650</v>
      </c>
      <c r="W238" t="s">
        <v>2888</v>
      </c>
      <c r="X238">
        <v>8</v>
      </c>
      <c r="Y238" t="s">
        <v>4208</v>
      </c>
      <c r="Z238" t="s">
        <v>5518</v>
      </c>
      <c r="AA238">
        <v>1.360891889380951</v>
      </c>
      <c r="AB238" t="str">
        <f>HYPERLINK("Melting_Curves/meltCurve_P04406_2_GAPDH.pdf", "Melting_Curves/meltCurve_P04406_2_GAPDH.pdf")</f>
        <v>Melting_Curves/meltCurve_P04406_2_GAPDH.pdf</v>
      </c>
    </row>
    <row r="239" spans="1:28" x14ac:dyDescent="0.25">
      <c r="A239" t="s">
        <v>243</v>
      </c>
      <c r="B239">
        <v>1</v>
      </c>
      <c r="C239">
        <v>0.73647488192357202</v>
      </c>
      <c r="D239">
        <v>1.0641190782882499</v>
      </c>
      <c r="E239">
        <v>1.3624409617861699</v>
      </c>
      <c r="F239">
        <v>1.080900243309</v>
      </c>
      <c r="G239">
        <v>1.2031451266638</v>
      </c>
      <c r="H239">
        <v>0.92881422642049505</v>
      </c>
      <c r="I239">
        <v>0.99123371976527797</v>
      </c>
      <c r="J239">
        <v>0.67815228281093498</v>
      </c>
      <c r="K239">
        <v>0.94976384714469697</v>
      </c>
      <c r="L239">
        <v>15000</v>
      </c>
      <c r="M239">
        <v>231.51269525992601</v>
      </c>
      <c r="O239">
        <v>64.786421551108006</v>
      </c>
      <c r="P239">
        <v>-0.16618383144048399</v>
      </c>
      <c r="Q239">
        <v>0.81398070811409295</v>
      </c>
      <c r="R239">
        <v>0.19031437040969901</v>
      </c>
      <c r="S239" t="s">
        <v>1565</v>
      </c>
      <c r="T239" t="s">
        <v>2650</v>
      </c>
      <c r="U239" t="s">
        <v>2650</v>
      </c>
      <c r="V239" t="s">
        <v>2650</v>
      </c>
      <c r="W239" t="s">
        <v>2889</v>
      </c>
      <c r="X239">
        <v>2</v>
      </c>
      <c r="Y239" t="s">
        <v>4209</v>
      </c>
      <c r="Z239" t="s">
        <v>5519</v>
      </c>
      <c r="AA239">
        <v>0.96772714869268384</v>
      </c>
      <c r="AB239" t="str">
        <f>HYPERLINK("Melting_Curves/meltCurve_P04632_CAPNS1.pdf", "Melting_Curves/meltCurve_P04632_CAPNS1.pdf")</f>
        <v>Melting_Curves/meltCurve_P04632_CAPNS1.pdf</v>
      </c>
    </row>
    <row r="240" spans="1:28" x14ac:dyDescent="0.25">
      <c r="A240" t="s">
        <v>244</v>
      </c>
      <c r="B240">
        <v>1</v>
      </c>
      <c r="C240">
        <v>1.0328303136382999</v>
      </c>
      <c r="D240">
        <v>1.24565968115805</v>
      </c>
      <c r="E240">
        <v>1.32645820521311</v>
      </c>
      <c r="F240">
        <v>0.99134301527981505</v>
      </c>
      <c r="G240">
        <v>1.0265859312171799</v>
      </c>
      <c r="H240">
        <v>0.88883107053313803</v>
      </c>
      <c r="I240">
        <v>0.96844694640238405</v>
      </c>
      <c r="J240">
        <v>0.73409338190075202</v>
      </c>
      <c r="K240">
        <v>0.82979327309711903</v>
      </c>
      <c r="L240">
        <v>1900.8327822404001</v>
      </c>
      <c r="M240">
        <v>29.724230550892202</v>
      </c>
      <c r="O240">
        <v>63.661584830141798</v>
      </c>
      <c r="P240">
        <v>-2.6505040162607501E-2</v>
      </c>
      <c r="Q240">
        <v>0.77293388726396695</v>
      </c>
      <c r="R240">
        <v>0.32664577384952198</v>
      </c>
      <c r="S240" t="s">
        <v>1566</v>
      </c>
      <c r="T240" t="s">
        <v>2650</v>
      </c>
      <c r="U240" t="s">
        <v>2650</v>
      </c>
      <c r="V240" t="s">
        <v>2650</v>
      </c>
      <c r="W240" t="s">
        <v>2890</v>
      </c>
      <c r="X240">
        <v>16</v>
      </c>
      <c r="Y240" t="s">
        <v>4210</v>
      </c>
      <c r="Z240" t="s">
        <v>5520</v>
      </c>
      <c r="AA240">
        <v>0.95446988120409104</v>
      </c>
      <c r="AB240" t="str">
        <f>HYPERLINK("Melting_Curves/meltCurve_P04745_AMY1A.pdf", "Melting_Curves/meltCurve_P04745_AMY1A.pdf")</f>
        <v>Melting_Curves/meltCurve_P04745_AMY1A.pdf</v>
      </c>
    </row>
    <row r="241" spans="1:28" x14ac:dyDescent="0.25">
      <c r="A241" t="s">
        <v>245</v>
      </c>
      <c r="B241">
        <v>1</v>
      </c>
      <c r="C241">
        <v>0.77967674202841897</v>
      </c>
      <c r="D241">
        <v>1.07917867083354</v>
      </c>
      <c r="E241">
        <v>1.1769373504565701</v>
      </c>
      <c r="F241">
        <v>0.87709360808633197</v>
      </c>
      <c r="G241">
        <v>0.93227208359783198</v>
      </c>
      <c r="H241">
        <v>0.87265003173983102</v>
      </c>
      <c r="I241">
        <v>0.95480736364080299</v>
      </c>
      <c r="J241">
        <v>0.63953318033107098</v>
      </c>
      <c r="K241">
        <v>0.85004150593290695</v>
      </c>
      <c r="L241">
        <v>968.33311763830295</v>
      </c>
      <c r="M241">
        <v>15.693811305073901</v>
      </c>
      <c r="O241">
        <v>60.725840295972901</v>
      </c>
      <c r="P241">
        <v>-1.6504662187506201E-2</v>
      </c>
      <c r="Q241">
        <v>0.74456825860342002</v>
      </c>
      <c r="R241">
        <v>0.29723792324783499</v>
      </c>
      <c r="S241" t="s">
        <v>1567</v>
      </c>
      <c r="T241" t="s">
        <v>2650</v>
      </c>
      <c r="U241" t="s">
        <v>2650</v>
      </c>
      <c r="V241" t="s">
        <v>2650</v>
      </c>
      <c r="W241" t="s">
        <v>2891</v>
      </c>
      <c r="X241">
        <v>5</v>
      </c>
      <c r="Y241" t="s">
        <v>4211</v>
      </c>
      <c r="Z241" t="s">
        <v>5521</v>
      </c>
      <c r="AA241">
        <v>0.92935135364829757</v>
      </c>
      <c r="AB241" t="str">
        <f>HYPERLINK("Melting_Curves/meltCurve_P04792_HSPB1.pdf", "Melting_Curves/meltCurve_P04792_HSPB1.pdf")</f>
        <v>Melting_Curves/meltCurve_P04792_HSPB1.pdf</v>
      </c>
    </row>
    <row r="242" spans="1:28" x14ac:dyDescent="0.25">
      <c r="A242" t="s">
        <v>246</v>
      </c>
      <c r="B242">
        <v>1</v>
      </c>
      <c r="C242">
        <v>0.89149767567203397</v>
      </c>
      <c r="D242">
        <v>1.4903658290103099</v>
      </c>
      <c r="E242">
        <v>1.8770464191875</v>
      </c>
      <c r="F242">
        <v>1.2537896651620299</v>
      </c>
      <c r="G242">
        <v>1.62706326214377</v>
      </c>
      <c r="H242">
        <v>1.45560196725729</v>
      </c>
      <c r="I242">
        <v>1.5802398436973699</v>
      </c>
      <c r="J242">
        <v>1.15404567809742</v>
      </c>
      <c r="K242">
        <v>1.6265579734555</v>
      </c>
      <c r="L242">
        <v>11319.256423466901</v>
      </c>
      <c r="M242">
        <v>250</v>
      </c>
      <c r="O242">
        <v>45.274128069969002</v>
      </c>
      <c r="P242">
        <v>0.69023968510280498</v>
      </c>
      <c r="Q242">
        <v>1.5</v>
      </c>
      <c r="R242">
        <v>0.57137714505991999</v>
      </c>
      <c r="S242" t="s">
        <v>1568</v>
      </c>
      <c r="T242" t="s">
        <v>2650</v>
      </c>
      <c r="U242" t="s">
        <v>2650</v>
      </c>
      <c r="V242" t="s">
        <v>2650</v>
      </c>
      <c r="W242" t="s">
        <v>2892</v>
      </c>
      <c r="X242">
        <v>1</v>
      </c>
      <c r="Y242" t="s">
        <v>4212</v>
      </c>
      <c r="Z242" t="s">
        <v>5522</v>
      </c>
      <c r="AA242">
        <v>1.4120098415311599</v>
      </c>
      <c r="AB242" t="str">
        <f>HYPERLINK("Melting_Curves/meltCurve_P05019_3_IGF1.pdf", "Melting_Curves/meltCurve_P05019_3_IGF1.pdf")</f>
        <v>Melting_Curves/meltCurve_P05019_3_IGF1.pdf</v>
      </c>
    </row>
    <row r="243" spans="1:28" x14ac:dyDescent="0.25">
      <c r="A243" t="s">
        <v>247</v>
      </c>
      <c r="B243">
        <v>1</v>
      </c>
      <c r="C243">
        <v>0.60618460279417796</v>
      </c>
      <c r="D243">
        <v>1.0237329748056401</v>
      </c>
      <c r="E243">
        <v>1.14467761734962</v>
      </c>
      <c r="F243">
        <v>0.81165604723212703</v>
      </c>
      <c r="G243">
        <v>0.82369790144385302</v>
      </c>
      <c r="H243">
        <v>0.77991465481966404</v>
      </c>
      <c r="I243">
        <v>0.84731396504354894</v>
      </c>
      <c r="J243">
        <v>0.46415502425907501</v>
      </c>
      <c r="K243">
        <v>0.70187642485532198</v>
      </c>
      <c r="L243">
        <v>337.79680733998799</v>
      </c>
      <c r="M243">
        <v>4.3195424567847303</v>
      </c>
      <c r="O243">
        <v>65.708023177826803</v>
      </c>
      <c r="P243">
        <v>-1.6599185566332102E-2</v>
      </c>
      <c r="Q243">
        <v>0</v>
      </c>
      <c r="R243">
        <v>0.29147854284228703</v>
      </c>
      <c r="S243" t="s">
        <v>1569</v>
      </c>
      <c r="T243" t="s">
        <v>2650</v>
      </c>
      <c r="U243" t="s">
        <v>2650</v>
      </c>
      <c r="V243" t="s">
        <v>2650</v>
      </c>
      <c r="W243" t="s">
        <v>2893</v>
      </c>
      <c r="X243">
        <v>9</v>
      </c>
      <c r="Y243" t="s">
        <v>4213</v>
      </c>
      <c r="Z243" t="s">
        <v>5523</v>
      </c>
      <c r="AA243">
        <v>0.84066049108883356</v>
      </c>
      <c r="AB243" t="str">
        <f>HYPERLINK("Melting_Curves/meltCurve_P05060_CHGB.pdf", "Melting_Curves/meltCurve_P05060_CHGB.pdf")</f>
        <v>Melting_Curves/meltCurve_P05060_CHGB.pdf</v>
      </c>
    </row>
    <row r="244" spans="1:28" x14ac:dyDescent="0.25">
      <c r="A244" t="s">
        <v>248</v>
      </c>
      <c r="B244">
        <v>1</v>
      </c>
      <c r="C244">
        <v>0.79337648826725204</v>
      </c>
      <c r="D244">
        <v>1.25609756097561</v>
      </c>
      <c r="E244">
        <v>1.4847994451508499</v>
      </c>
      <c r="F244">
        <v>1.0783146457057</v>
      </c>
      <c r="G244">
        <v>1.3915732285284901</v>
      </c>
      <c r="H244">
        <v>1.24141717720495</v>
      </c>
      <c r="I244">
        <v>1.0942665587793301</v>
      </c>
      <c r="J244">
        <v>0.82817015373945202</v>
      </c>
      <c r="K244">
        <v>1.0605710322506099</v>
      </c>
      <c r="L244">
        <v>11122.5432537989</v>
      </c>
      <c r="M244">
        <v>250</v>
      </c>
      <c r="O244">
        <v>44.487325956506197</v>
      </c>
      <c r="P244">
        <v>0.25204129013203203</v>
      </c>
      <c r="Q244">
        <v>1.17940228817764</v>
      </c>
      <c r="R244">
        <v>0.23556639934615101</v>
      </c>
      <c r="S244" t="s">
        <v>1570</v>
      </c>
      <c r="T244" t="s">
        <v>2650</v>
      </c>
      <c r="U244" t="s">
        <v>2650</v>
      </c>
      <c r="V244" t="s">
        <v>2650</v>
      </c>
      <c r="W244" t="s">
        <v>2894</v>
      </c>
      <c r="X244">
        <v>1</v>
      </c>
      <c r="Y244" t="s">
        <v>4214</v>
      </c>
      <c r="Z244" t="s">
        <v>5524</v>
      </c>
      <c r="AA244">
        <v>1.1525367034177101</v>
      </c>
      <c r="AB244" t="str">
        <f>HYPERLINK("Melting_Curves/meltCurve_P05089_3_ARG1.pdf", "Melting_Curves/meltCurve_P05089_3_ARG1.pdf")</f>
        <v>Melting_Curves/meltCurve_P05089_3_ARG1.pdf</v>
      </c>
    </row>
    <row r="245" spans="1:28" x14ac:dyDescent="0.25">
      <c r="A245" t="s">
        <v>249</v>
      </c>
      <c r="B245">
        <v>1</v>
      </c>
      <c r="C245">
        <v>0.81060959863740001</v>
      </c>
      <c r="D245">
        <v>1.1221395016620399</v>
      </c>
      <c r="E245">
        <v>1.3099090684321899</v>
      </c>
      <c r="F245">
        <v>0.96310540919205501</v>
      </c>
      <c r="G245">
        <v>1.1226065217988499</v>
      </c>
      <c r="H245">
        <v>0.90882118623114705</v>
      </c>
      <c r="I245">
        <v>1.0246421801598899</v>
      </c>
      <c r="J245">
        <v>0.73014477624241103</v>
      </c>
      <c r="K245">
        <v>0.95868245377874195</v>
      </c>
      <c r="L245">
        <v>15000</v>
      </c>
      <c r="M245">
        <v>229.872088738043</v>
      </c>
      <c r="O245">
        <v>65.248742631635196</v>
      </c>
      <c r="P245">
        <v>-0.13695083058785901</v>
      </c>
      <c r="Q245">
        <v>0.844507099997857</v>
      </c>
      <c r="R245">
        <v>0.19476134974554701</v>
      </c>
      <c r="S245" t="s">
        <v>1571</v>
      </c>
      <c r="T245" t="s">
        <v>2650</v>
      </c>
      <c r="U245" t="s">
        <v>2650</v>
      </c>
      <c r="V245" t="s">
        <v>2650</v>
      </c>
      <c r="W245" t="s">
        <v>2895</v>
      </c>
      <c r="X245">
        <v>10</v>
      </c>
      <c r="Y245" t="s">
        <v>4215</v>
      </c>
      <c r="Z245" t="s">
        <v>5525</v>
      </c>
      <c r="AA245">
        <v>0.97542043335920647</v>
      </c>
      <c r="AB245" t="str">
        <f>HYPERLINK("Melting_Curves/meltCurve_P05090_APOD.pdf", "Melting_Curves/meltCurve_P05090_APOD.pdf")</f>
        <v>Melting_Curves/meltCurve_P05090_APOD.pdf</v>
      </c>
    </row>
    <row r="246" spans="1:28" x14ac:dyDescent="0.25">
      <c r="A246" t="s">
        <v>250</v>
      </c>
      <c r="B246">
        <v>1</v>
      </c>
      <c r="C246">
        <v>0.80021766837078101</v>
      </c>
      <c r="D246">
        <v>1.3071558476894201</v>
      </c>
      <c r="E246">
        <v>1.76268419469863</v>
      </c>
      <c r="F246">
        <v>1.4737007919119001</v>
      </c>
      <c r="G246">
        <v>1.8854090590139001</v>
      </c>
      <c r="H246">
        <v>1.7363348656041</v>
      </c>
      <c r="I246">
        <v>2.2196445704629699</v>
      </c>
      <c r="J246">
        <v>1.3384313557016201</v>
      </c>
      <c r="K246">
        <v>1.9240738354026099</v>
      </c>
      <c r="L246">
        <v>11478.5882540896</v>
      </c>
      <c r="M246">
        <v>250</v>
      </c>
      <c r="O246">
        <v>45.911415325228702</v>
      </c>
      <c r="P246">
        <v>0.68065861553446905</v>
      </c>
      <c r="Q246">
        <v>1.5</v>
      </c>
      <c r="R246">
        <v>0.40856288556745302</v>
      </c>
      <c r="S246" t="s">
        <v>1572</v>
      </c>
      <c r="T246" t="s">
        <v>2650</v>
      </c>
      <c r="U246" t="s">
        <v>2650</v>
      </c>
      <c r="V246" t="s">
        <v>2650</v>
      </c>
      <c r="W246" t="s">
        <v>2896</v>
      </c>
      <c r="X246">
        <v>11</v>
      </c>
      <c r="Y246" t="s">
        <v>4216</v>
      </c>
      <c r="Z246" t="s">
        <v>5526</v>
      </c>
      <c r="AA246">
        <v>1.4013871602398791</v>
      </c>
      <c r="AB246" t="str">
        <f>HYPERLINK("Melting_Curves/meltCurve_P05109_S100A8.pdf", "Melting_Curves/meltCurve_P05109_S100A8.pdf")</f>
        <v>Melting_Curves/meltCurve_P05109_S100A8.pdf</v>
      </c>
    </row>
    <row r="247" spans="1:28" x14ac:dyDescent="0.25">
      <c r="A247" t="s">
        <v>251</v>
      </c>
      <c r="B247">
        <v>1</v>
      </c>
      <c r="C247">
        <v>0.96773247286594299</v>
      </c>
      <c r="D247">
        <v>1.31827515400411</v>
      </c>
      <c r="E247">
        <v>1.44756526840716</v>
      </c>
      <c r="F247">
        <v>1.5666617776473999</v>
      </c>
      <c r="G247">
        <v>1.7896010560281601</v>
      </c>
      <c r="H247">
        <v>1.5715752420064499</v>
      </c>
      <c r="I247">
        <v>2.2265327075388699</v>
      </c>
      <c r="J247">
        <v>1.53080082135524</v>
      </c>
      <c r="K247">
        <v>2.0960692285127598</v>
      </c>
      <c r="L247">
        <v>11474.2205636621</v>
      </c>
      <c r="M247">
        <v>250</v>
      </c>
      <c r="O247">
        <v>45.8939453289155</v>
      </c>
      <c r="P247">
        <v>0.68091770992060097</v>
      </c>
      <c r="Q247">
        <v>1.5</v>
      </c>
      <c r="R247">
        <v>0.35443992200522001</v>
      </c>
      <c r="S247" t="s">
        <v>1573</v>
      </c>
      <c r="T247" t="s">
        <v>2650</v>
      </c>
      <c r="U247" t="s">
        <v>2650</v>
      </c>
      <c r="V247" t="s">
        <v>2650</v>
      </c>
      <c r="W247" t="s">
        <v>2897</v>
      </c>
      <c r="X247">
        <v>22</v>
      </c>
      <c r="Y247" t="s">
        <v>4217</v>
      </c>
      <c r="Z247" t="s">
        <v>5527</v>
      </c>
      <c r="AA247">
        <v>1.4016783549321841</v>
      </c>
      <c r="AB247" t="str">
        <f>HYPERLINK("Melting_Curves/meltCurve_P05154_SERPINA5.pdf", "Melting_Curves/meltCurve_P05154_SERPINA5.pdf")</f>
        <v>Melting_Curves/meltCurve_P05154_SERPINA5.pdf</v>
      </c>
    </row>
    <row r="248" spans="1:28" x14ac:dyDescent="0.25">
      <c r="A248" t="s">
        <v>252</v>
      </c>
      <c r="B248">
        <v>1</v>
      </c>
      <c r="C248">
        <v>0.79093410192584801</v>
      </c>
      <c r="D248">
        <v>1.1724616795493299</v>
      </c>
      <c r="E248">
        <v>1.58144897157081</v>
      </c>
      <c r="F248">
        <v>1.31287829162846</v>
      </c>
      <c r="G248">
        <v>1.40296082798375</v>
      </c>
      <c r="H248">
        <v>1.2717149220490001</v>
      </c>
      <c r="I248">
        <v>1.4618629634481899</v>
      </c>
      <c r="J248">
        <v>1.0063146862308401</v>
      </c>
      <c r="K248">
        <v>1.37332634612865</v>
      </c>
      <c r="L248">
        <v>11499.849000841001</v>
      </c>
      <c r="M248">
        <v>250</v>
      </c>
      <c r="O248">
        <v>45.996452356340697</v>
      </c>
      <c r="P248">
        <v>0.46791400097353397</v>
      </c>
      <c r="Q248">
        <v>1.3443581443696899</v>
      </c>
      <c r="R248">
        <v>0.55397727120115003</v>
      </c>
      <c r="S248" t="s">
        <v>1574</v>
      </c>
      <c r="T248" t="s">
        <v>2650</v>
      </c>
      <c r="U248" t="s">
        <v>2650</v>
      </c>
      <c r="V248" t="s">
        <v>2650</v>
      </c>
      <c r="W248" t="s">
        <v>2898</v>
      </c>
      <c r="X248">
        <v>12</v>
      </c>
      <c r="Y248" t="s">
        <v>4218</v>
      </c>
      <c r="Z248" t="s">
        <v>5528</v>
      </c>
      <c r="AA248">
        <v>1.275465649113003</v>
      </c>
      <c r="AB248" t="str">
        <f>HYPERLINK("Melting_Curves/meltCurve_P05155_2_SERPING1.pdf", "Melting_Curves/meltCurve_P05155_2_SERPING1.pdf")</f>
        <v>Melting_Curves/meltCurve_P05155_2_SERPING1.pdf</v>
      </c>
    </row>
    <row r="249" spans="1:28" x14ac:dyDescent="0.25">
      <c r="A249" t="s">
        <v>253</v>
      </c>
      <c r="B249">
        <v>1</v>
      </c>
      <c r="C249">
        <v>0.82546031308185597</v>
      </c>
      <c r="D249">
        <v>1.20770981311634</v>
      </c>
      <c r="E249">
        <v>1.51830908213227</v>
      </c>
      <c r="F249">
        <v>1.14247293290118</v>
      </c>
      <c r="G249">
        <v>1.20646851941245</v>
      </c>
      <c r="H249">
        <v>1.1039238673195</v>
      </c>
      <c r="I249">
        <v>1.31928832494311</v>
      </c>
      <c r="J249">
        <v>0.89000758568374605</v>
      </c>
      <c r="K249">
        <v>1.1593683194262501</v>
      </c>
      <c r="L249">
        <v>11155.962273584601</v>
      </c>
      <c r="M249">
        <v>250</v>
      </c>
      <c r="O249">
        <v>44.620998075733397</v>
      </c>
      <c r="P249">
        <v>0.27097005048191802</v>
      </c>
      <c r="Q249">
        <v>1.19345524542922</v>
      </c>
      <c r="R249">
        <v>0.302098897816513</v>
      </c>
      <c r="S249" t="s">
        <v>1575</v>
      </c>
      <c r="T249" t="s">
        <v>2650</v>
      </c>
      <c r="U249" t="s">
        <v>2650</v>
      </c>
      <c r="V249" t="s">
        <v>2650</v>
      </c>
      <c r="W249" t="s">
        <v>2899</v>
      </c>
      <c r="X249">
        <v>8</v>
      </c>
      <c r="Y249" t="s">
        <v>4219</v>
      </c>
      <c r="Z249" t="s">
        <v>5529</v>
      </c>
      <c r="AA249">
        <v>1.1636231664316179</v>
      </c>
      <c r="AB249" t="str">
        <f>HYPERLINK("Melting_Curves/meltCurve_P05156_CFI.pdf", "Melting_Curves/meltCurve_P05156_CFI.pdf")</f>
        <v>Melting_Curves/meltCurve_P05156_CFI.pdf</v>
      </c>
    </row>
    <row r="250" spans="1:28" x14ac:dyDescent="0.25">
      <c r="A250" t="s">
        <v>254</v>
      </c>
      <c r="B250">
        <v>1</v>
      </c>
      <c r="C250">
        <v>0.84490507199853204</v>
      </c>
      <c r="D250">
        <v>1.2986792625882799</v>
      </c>
      <c r="E250">
        <v>1.7056314775749799</v>
      </c>
      <c r="F250">
        <v>1.3790241218013399</v>
      </c>
      <c r="G250">
        <v>1.26781619737687</v>
      </c>
      <c r="H250">
        <v>1.2802898284875699</v>
      </c>
      <c r="I250">
        <v>1.5235714940842</v>
      </c>
      <c r="J250">
        <v>0.97982206732092103</v>
      </c>
      <c r="K250">
        <v>1.3765018802164499</v>
      </c>
      <c r="L250">
        <v>11426.376778027099</v>
      </c>
      <c r="M250">
        <v>250</v>
      </c>
      <c r="O250">
        <v>45.702582313751897</v>
      </c>
      <c r="P250">
        <v>0.49087901794454802</v>
      </c>
      <c r="Q250">
        <v>1.3589510187584399</v>
      </c>
      <c r="R250">
        <v>0.46369562296794098</v>
      </c>
      <c r="S250" t="s">
        <v>1576</v>
      </c>
      <c r="T250" t="s">
        <v>2650</v>
      </c>
      <c r="U250" t="s">
        <v>2650</v>
      </c>
      <c r="V250" t="s">
        <v>2650</v>
      </c>
      <c r="W250" t="s">
        <v>2900</v>
      </c>
      <c r="X250">
        <v>1</v>
      </c>
      <c r="Y250" t="s">
        <v>4220</v>
      </c>
      <c r="Z250" t="s">
        <v>5530</v>
      </c>
      <c r="AA250">
        <v>1.290655640068991</v>
      </c>
      <c r="AB250" t="str">
        <f>HYPERLINK("Melting_Curves/meltCurve_P05160_F13B.pdf", "Melting_Curves/meltCurve_P05160_F13B.pdf")</f>
        <v>Melting_Curves/meltCurve_P05160_F13B.pdf</v>
      </c>
    </row>
    <row r="251" spans="1:28" x14ac:dyDescent="0.25">
      <c r="A251" t="s">
        <v>255</v>
      </c>
      <c r="B251">
        <v>1</v>
      </c>
      <c r="C251">
        <v>0.88589203980709996</v>
      </c>
      <c r="D251">
        <v>1.3628164382216901</v>
      </c>
      <c r="E251">
        <v>1.8305866761562299</v>
      </c>
      <c r="F251">
        <v>1.36551605659382</v>
      </c>
      <c r="G251">
        <v>1.45472617280012</v>
      </c>
      <c r="H251">
        <v>1.2631759783048899</v>
      </c>
      <c r="I251">
        <v>1.6327782754347</v>
      </c>
      <c r="J251">
        <v>1.0410341992563801</v>
      </c>
      <c r="K251">
        <v>1.5004969752003201</v>
      </c>
      <c r="L251">
        <v>11429.507855316</v>
      </c>
      <c r="M251">
        <v>250</v>
      </c>
      <c r="O251">
        <v>45.715105804524399</v>
      </c>
      <c r="P251">
        <v>0.60317558116701697</v>
      </c>
      <c r="Q251">
        <v>1.4411877673425399</v>
      </c>
      <c r="R251">
        <v>0.48595029912957899</v>
      </c>
      <c r="S251" t="s">
        <v>1577</v>
      </c>
      <c r="T251" t="s">
        <v>2650</v>
      </c>
      <c r="U251" t="s">
        <v>2650</v>
      </c>
      <c r="V251" t="s">
        <v>2650</v>
      </c>
      <c r="W251" t="s">
        <v>2901</v>
      </c>
      <c r="X251">
        <v>4</v>
      </c>
      <c r="Y251" t="s">
        <v>4221</v>
      </c>
      <c r="Z251" t="s">
        <v>5531</v>
      </c>
      <c r="AA251">
        <v>1.357061518347177</v>
      </c>
      <c r="AB251" t="str">
        <f>HYPERLINK("Melting_Curves/meltCurve_P05164_2_MPO.pdf", "Melting_Curves/meltCurve_P05164_2_MPO.pdf")</f>
        <v>Melting_Curves/meltCurve_P05164_2_MPO.pdf</v>
      </c>
    </row>
    <row r="252" spans="1:28" x14ac:dyDescent="0.25">
      <c r="A252" t="s">
        <v>256</v>
      </c>
      <c r="B252">
        <v>1</v>
      </c>
      <c r="C252">
        <v>0.46169925451821198</v>
      </c>
      <c r="D252">
        <v>0.85650862946040396</v>
      </c>
      <c r="E252">
        <v>0.95906324571301704</v>
      </c>
      <c r="F252">
        <v>0.88976858617436505</v>
      </c>
      <c r="G252">
        <v>0.59466508814443497</v>
      </c>
      <c r="H252">
        <v>0.73367986829205101</v>
      </c>
      <c r="I252">
        <v>0.89838879742503597</v>
      </c>
      <c r="J252">
        <v>0.50119314082761401</v>
      </c>
      <c r="K252">
        <v>0.64869864407406697</v>
      </c>
      <c r="L252">
        <v>101.130470205645</v>
      </c>
      <c r="M252">
        <v>0.73921223497308897</v>
      </c>
      <c r="Q252">
        <v>0</v>
      </c>
      <c r="R252">
        <v>0.10493549669298601</v>
      </c>
      <c r="S252" t="s">
        <v>1578</v>
      </c>
      <c r="T252" t="s">
        <v>2650</v>
      </c>
      <c r="U252" t="s">
        <v>2650</v>
      </c>
      <c r="V252" t="s">
        <v>2650</v>
      </c>
      <c r="W252" t="s">
        <v>2902</v>
      </c>
      <c r="X252">
        <v>2</v>
      </c>
      <c r="Y252" t="s">
        <v>4222</v>
      </c>
      <c r="Z252" t="s">
        <v>5532</v>
      </c>
      <c r="AA252">
        <v>0.75460888086105415</v>
      </c>
      <c r="AB252" t="str">
        <f>HYPERLINK("Melting_Curves/meltCurve_P05186_2_ALPL.pdf", "Melting_Curves/meltCurve_P05186_2_ALPL.pdf")</f>
        <v>Melting_Curves/meltCurve_P05186_2_ALPL.pdf</v>
      </c>
    </row>
    <row r="253" spans="1:28" x14ac:dyDescent="0.25">
      <c r="A253" t="s">
        <v>257</v>
      </c>
      <c r="B253">
        <v>1</v>
      </c>
      <c r="C253">
        <v>0.88097963714573102</v>
      </c>
      <c r="D253">
        <v>1.17320567523502</v>
      </c>
      <c r="E253">
        <v>1.3251465639851501</v>
      </c>
      <c r="F253">
        <v>1.2157699379054401</v>
      </c>
      <c r="G253">
        <v>1.1002532348145799</v>
      </c>
      <c r="H253">
        <v>1.0992819231969999</v>
      </c>
      <c r="I253">
        <v>1.4384084365351899</v>
      </c>
      <c r="J253">
        <v>0.95289138654733396</v>
      </c>
      <c r="K253">
        <v>1.21306414125646</v>
      </c>
      <c r="L253">
        <v>11398.1224179602</v>
      </c>
      <c r="M253">
        <v>250</v>
      </c>
      <c r="O253">
        <v>45.589594455498002</v>
      </c>
      <c r="P253">
        <v>0.26337786008403002</v>
      </c>
      <c r="Q253">
        <v>1.1921165433785601</v>
      </c>
      <c r="R253">
        <v>0.355699471019919</v>
      </c>
      <c r="S253" t="s">
        <v>1579</v>
      </c>
      <c r="T253" t="s">
        <v>2650</v>
      </c>
      <c r="U253" t="s">
        <v>2650</v>
      </c>
      <c r="V253" t="s">
        <v>2650</v>
      </c>
      <c r="W253" t="s">
        <v>2903</v>
      </c>
      <c r="X253">
        <v>2</v>
      </c>
      <c r="Y253" t="s">
        <v>4223</v>
      </c>
      <c r="Z253" t="s">
        <v>5533</v>
      </c>
      <c r="AA253">
        <v>1.1562875118565521</v>
      </c>
      <c r="AB253" t="str">
        <f>HYPERLINK("Melting_Curves/meltCurve_P05362_ICAM1.pdf", "Melting_Curves/meltCurve_P05362_ICAM1.pdf")</f>
        <v>Melting_Curves/meltCurve_P05362_ICAM1.pdf</v>
      </c>
    </row>
    <row r="254" spans="1:28" x14ac:dyDescent="0.25">
      <c r="A254" t="s">
        <v>258</v>
      </c>
      <c r="B254">
        <v>1</v>
      </c>
      <c r="C254">
        <v>0.66697702293425798</v>
      </c>
      <c r="D254">
        <v>1.0597703363619799</v>
      </c>
      <c r="E254">
        <v>1.10411917680676</v>
      </c>
      <c r="F254">
        <v>0.84571012724606998</v>
      </c>
      <c r="G254">
        <v>0.89610556393874197</v>
      </c>
      <c r="H254">
        <v>0.81652593615222402</v>
      </c>
      <c r="I254">
        <v>0.97427253561070604</v>
      </c>
      <c r="J254">
        <v>0.51030061750195299</v>
      </c>
      <c r="K254">
        <v>0.66319923802185299</v>
      </c>
      <c r="L254">
        <v>568.33402978020297</v>
      </c>
      <c r="M254">
        <v>7.6482977025652303</v>
      </c>
      <c r="O254">
        <v>69.739704195539602</v>
      </c>
      <c r="P254">
        <v>-2.7453957688147099E-2</v>
      </c>
      <c r="Q254">
        <v>0</v>
      </c>
      <c r="R254">
        <v>0.340931977572557</v>
      </c>
      <c r="S254" t="s">
        <v>1580</v>
      </c>
      <c r="T254" t="s">
        <v>2650</v>
      </c>
      <c r="U254" t="s">
        <v>2650</v>
      </c>
      <c r="V254" t="s">
        <v>2650</v>
      </c>
      <c r="W254" t="s">
        <v>2904</v>
      </c>
      <c r="X254">
        <v>2</v>
      </c>
      <c r="Y254" t="s">
        <v>4224</v>
      </c>
      <c r="Z254" t="s">
        <v>5534</v>
      </c>
      <c r="AA254">
        <v>0.88906346219600085</v>
      </c>
      <c r="AB254" t="str">
        <f>HYPERLINK("Melting_Curves/meltCurve_P05387_RPLP2.pdf", "Melting_Curves/meltCurve_P05387_RPLP2.pdf")</f>
        <v>Melting_Curves/meltCurve_P05387_RPLP2.pdf</v>
      </c>
    </row>
    <row r="255" spans="1:28" x14ac:dyDescent="0.25">
      <c r="A255" t="s">
        <v>259</v>
      </c>
      <c r="B255">
        <v>1</v>
      </c>
      <c r="C255">
        <v>0.78663053297199603</v>
      </c>
      <c r="D255">
        <v>1.14447455585667</v>
      </c>
      <c r="E255">
        <v>1.30159590484794</v>
      </c>
      <c r="F255">
        <v>1.0490213791026799</v>
      </c>
      <c r="G255">
        <v>1.06064438422162</v>
      </c>
      <c r="H255">
        <v>0.99530261969286404</v>
      </c>
      <c r="I255">
        <v>1.1612767238783499</v>
      </c>
      <c r="J255">
        <v>0.75176151761517596</v>
      </c>
      <c r="K255">
        <v>1.0392652815417001</v>
      </c>
      <c r="L255">
        <v>1644.80101915102</v>
      </c>
      <c r="M255">
        <v>24.836598548548299</v>
      </c>
      <c r="O255">
        <v>65.8000400684098</v>
      </c>
      <c r="P255">
        <v>-5.5761875520391399E-3</v>
      </c>
      <c r="Q255">
        <v>0.94090844613854796</v>
      </c>
      <c r="R255">
        <v>-1.9442385037735401E-2</v>
      </c>
      <c r="S255" t="s">
        <v>1581</v>
      </c>
      <c r="T255" t="s">
        <v>2650</v>
      </c>
      <c r="U255" t="s">
        <v>2650</v>
      </c>
      <c r="V255" t="s">
        <v>2650</v>
      </c>
      <c r="W255" t="s">
        <v>2905</v>
      </c>
      <c r="X255">
        <v>3</v>
      </c>
      <c r="Y255" t="s">
        <v>4225</v>
      </c>
      <c r="Z255" t="s">
        <v>5535</v>
      </c>
      <c r="AA255">
        <v>0.99176784782179495</v>
      </c>
      <c r="AB255" t="str">
        <f>HYPERLINK("Melting_Curves/meltCurve_P05452_CLEC3B.pdf", "Melting_Curves/meltCurve_P05452_CLEC3B.pdf")</f>
        <v>Melting_Curves/meltCurve_P05452_CLEC3B.pdf</v>
      </c>
    </row>
    <row r="256" spans="1:28" x14ac:dyDescent="0.25">
      <c r="A256" t="s">
        <v>260</v>
      </c>
      <c r="B256">
        <v>1</v>
      </c>
      <c r="C256">
        <v>0.79928867183352803</v>
      </c>
      <c r="D256">
        <v>1.2223962204055601</v>
      </c>
      <c r="E256">
        <v>1.2711009661322901</v>
      </c>
      <c r="F256">
        <v>1.0975952861237901</v>
      </c>
      <c r="G256">
        <v>1.1309321584032299</v>
      </c>
      <c r="H256">
        <v>1.0117846905191601</v>
      </c>
      <c r="I256">
        <v>1.2055154474997301</v>
      </c>
      <c r="J256">
        <v>0.79323707399936305</v>
      </c>
      <c r="K256">
        <v>1.0878543369784499</v>
      </c>
      <c r="L256">
        <v>11111.9858770105</v>
      </c>
      <c r="M256">
        <v>250</v>
      </c>
      <c r="O256">
        <v>44.445099105006101</v>
      </c>
      <c r="P256">
        <v>0.14420673185802099</v>
      </c>
      <c r="Q256">
        <v>1.1025485197724101</v>
      </c>
      <c r="R256">
        <v>0.18711505532325501</v>
      </c>
      <c r="S256" t="s">
        <v>1582</v>
      </c>
      <c r="T256" t="s">
        <v>2650</v>
      </c>
      <c r="U256" t="s">
        <v>2650</v>
      </c>
      <c r="V256" t="s">
        <v>2650</v>
      </c>
      <c r="W256" t="s">
        <v>2906</v>
      </c>
      <c r="X256">
        <v>6</v>
      </c>
      <c r="Y256" t="s">
        <v>4226</v>
      </c>
      <c r="Z256" t="s">
        <v>5536</v>
      </c>
      <c r="AA256">
        <v>1.0873361863363711</v>
      </c>
      <c r="AB256" t="str">
        <f>HYPERLINK("Melting_Curves/meltCurve_P05783_KRT18.pdf", "Melting_Curves/meltCurve_P05783_KRT18.pdf")</f>
        <v>Melting_Curves/meltCurve_P05783_KRT18.pdf</v>
      </c>
    </row>
    <row r="257" spans="1:28" x14ac:dyDescent="0.25">
      <c r="A257" t="s">
        <v>261</v>
      </c>
      <c r="B257">
        <v>1</v>
      </c>
      <c r="C257">
        <v>0.92539883973894099</v>
      </c>
      <c r="D257">
        <v>0.99202320522117504</v>
      </c>
      <c r="E257">
        <v>1.0080674401740399</v>
      </c>
      <c r="F257">
        <v>0.94597534445250198</v>
      </c>
      <c r="G257">
        <v>0.99120739666424995</v>
      </c>
      <c r="H257">
        <v>0.93382886149383604</v>
      </c>
      <c r="I257">
        <v>0.951504713560551</v>
      </c>
      <c r="J257">
        <v>0.87568890500362595</v>
      </c>
      <c r="K257">
        <v>0.92621464829586697</v>
      </c>
      <c r="L257">
        <v>240.497950424973</v>
      </c>
      <c r="M257">
        <v>1.1389014720467801</v>
      </c>
      <c r="Q257">
        <v>0</v>
      </c>
      <c r="R257">
        <v>0.39576373740681298</v>
      </c>
      <c r="S257" t="s">
        <v>1583</v>
      </c>
      <c r="T257" t="s">
        <v>2650</v>
      </c>
      <c r="U257" t="s">
        <v>2650</v>
      </c>
      <c r="V257" t="s">
        <v>2650</v>
      </c>
      <c r="W257" t="s">
        <v>2907</v>
      </c>
      <c r="X257">
        <v>3</v>
      </c>
      <c r="Y257" t="s">
        <v>4227</v>
      </c>
      <c r="Z257" t="s">
        <v>5537</v>
      </c>
      <c r="AA257">
        <v>0.9581565318132147</v>
      </c>
      <c r="AB257" t="str">
        <f>HYPERLINK("Melting_Curves/meltCurve_P05814_CSN2.pdf", "Melting_Curves/meltCurve_P05814_CSN2.pdf")</f>
        <v>Melting_Curves/meltCurve_P05814_CSN2.pdf</v>
      </c>
    </row>
    <row r="258" spans="1:28" x14ac:dyDescent="0.25">
      <c r="A258" t="s">
        <v>262</v>
      </c>
      <c r="B258">
        <v>1</v>
      </c>
      <c r="C258">
        <v>0.90111325331177305</v>
      </c>
      <c r="D258">
        <v>1.3423720380620701</v>
      </c>
      <c r="E258">
        <v>1.3581690403632101</v>
      </c>
      <c r="F258">
        <v>1.1487654704894601</v>
      </c>
      <c r="G258">
        <v>1.0259344486597399</v>
      </c>
      <c r="H258">
        <v>1.20505006530257</v>
      </c>
      <c r="I258">
        <v>1.3717270974563101</v>
      </c>
      <c r="J258">
        <v>0.73536911499471402</v>
      </c>
      <c r="K258">
        <v>1.0862615834318099</v>
      </c>
      <c r="L258">
        <v>11086.8718748843</v>
      </c>
      <c r="M258">
        <v>250</v>
      </c>
      <c r="O258">
        <v>44.344649589217703</v>
      </c>
      <c r="P258">
        <v>0.22438303708898799</v>
      </c>
      <c r="Q258">
        <v>1.15920299414432</v>
      </c>
      <c r="R258">
        <v>0.162784621429647</v>
      </c>
      <c r="S258" t="s">
        <v>1584</v>
      </c>
      <c r="T258" t="s">
        <v>2650</v>
      </c>
      <c r="U258" t="s">
        <v>2650</v>
      </c>
      <c r="V258" t="s">
        <v>2650</v>
      </c>
      <c r="W258" t="s">
        <v>2908</v>
      </c>
      <c r="X258">
        <v>2</v>
      </c>
      <c r="Y258" t="s">
        <v>4228</v>
      </c>
      <c r="Z258" t="s">
        <v>5538</v>
      </c>
      <c r="AA258">
        <v>1.1361195026128379</v>
      </c>
      <c r="AB258" t="str">
        <f>HYPERLINK("Melting_Curves/meltCurve_P05981_HPN.pdf", "Melting_Curves/meltCurve_P05981_HPN.pdf")</f>
        <v>Melting_Curves/meltCurve_P05981_HPN.pdf</v>
      </c>
    </row>
    <row r="259" spans="1:28" x14ac:dyDescent="0.25">
      <c r="A259" t="s">
        <v>263</v>
      </c>
      <c r="B259">
        <v>1</v>
      </c>
      <c r="C259">
        <v>0.83034973903711995</v>
      </c>
      <c r="D259">
        <v>1.18511292132091</v>
      </c>
      <c r="E259">
        <v>1.89239549290279</v>
      </c>
      <c r="F259">
        <v>1.66172381835032</v>
      </c>
      <c r="G259">
        <v>1.7498658602019399</v>
      </c>
      <c r="H259">
        <v>1.20725818252768</v>
      </c>
      <c r="I259">
        <v>2.18267401590166</v>
      </c>
      <c r="J259">
        <v>1.3057411833569099</v>
      </c>
      <c r="K259">
        <v>1.86473830544851</v>
      </c>
      <c r="L259">
        <v>11524.437411615199</v>
      </c>
      <c r="M259">
        <v>250</v>
      </c>
      <c r="O259">
        <v>46.094799114540201</v>
      </c>
      <c r="P259">
        <v>0.67795066346922805</v>
      </c>
      <c r="Q259">
        <v>1.5</v>
      </c>
      <c r="R259">
        <v>0.43569944151569401</v>
      </c>
      <c r="S259" t="s">
        <v>1585</v>
      </c>
      <c r="T259" t="s">
        <v>2650</v>
      </c>
      <c r="U259" t="s">
        <v>2650</v>
      </c>
      <c r="V259" t="s">
        <v>2650</v>
      </c>
      <c r="W259" t="s">
        <v>2909</v>
      </c>
      <c r="X259">
        <v>2</v>
      </c>
      <c r="Y259" t="s">
        <v>4229</v>
      </c>
      <c r="Z259" t="s">
        <v>5539</v>
      </c>
      <c r="AA259">
        <v>1.398330388809059</v>
      </c>
      <c r="AB259" t="str">
        <f>HYPERLINK("Melting_Curves/meltCurve_P06132_UROD.pdf", "Melting_Curves/meltCurve_P06132_UROD.pdf")</f>
        <v>Melting_Curves/meltCurve_P06132_UROD.pdf</v>
      </c>
    </row>
    <row r="260" spans="1:28" x14ac:dyDescent="0.25">
      <c r="A260" t="s">
        <v>264</v>
      </c>
      <c r="B260">
        <v>1</v>
      </c>
      <c r="C260">
        <v>0.84961632041923996</v>
      </c>
      <c r="D260">
        <v>1.10948905109489</v>
      </c>
      <c r="E260">
        <v>1.36524424480629</v>
      </c>
      <c r="F260">
        <v>1.0352798053528001</v>
      </c>
      <c r="G260">
        <v>1.1256784577952501</v>
      </c>
      <c r="H260">
        <v>1.09591989518997</v>
      </c>
      <c r="I260">
        <v>1.5935803855511901</v>
      </c>
      <c r="J260">
        <v>1.0554931686318501</v>
      </c>
      <c r="K260">
        <v>1.48100318173311</v>
      </c>
      <c r="L260">
        <v>386.386418533018</v>
      </c>
      <c r="M260">
        <v>6.3506985714273299</v>
      </c>
      <c r="O260">
        <v>55.646830141855702</v>
      </c>
      <c r="P260">
        <v>1.4303315395720001E-2</v>
      </c>
      <c r="Q260">
        <v>1.5</v>
      </c>
      <c r="R260">
        <v>0.32788933839391199</v>
      </c>
      <c r="S260" t="s">
        <v>1586</v>
      </c>
      <c r="T260" t="s">
        <v>2650</v>
      </c>
      <c r="U260" t="s">
        <v>2650</v>
      </c>
      <c r="V260" t="s">
        <v>2650</v>
      </c>
      <c r="W260" t="s">
        <v>2910</v>
      </c>
      <c r="X260">
        <v>7</v>
      </c>
      <c r="Y260" t="s">
        <v>4230</v>
      </c>
      <c r="Z260" t="s">
        <v>5540</v>
      </c>
      <c r="AA260">
        <v>1.1729897517899439</v>
      </c>
      <c r="AB260" t="str">
        <f>HYPERLINK("Melting_Curves/meltCurve_P06280_GLA.pdf", "Melting_Curves/meltCurve_P06280_GLA.pdf")</f>
        <v>Melting_Curves/meltCurve_P06280_GLA.pdf</v>
      </c>
    </row>
    <row r="261" spans="1:28" x14ac:dyDescent="0.25">
      <c r="A261" t="s">
        <v>265</v>
      </c>
      <c r="B261">
        <v>1</v>
      </c>
      <c r="C261">
        <v>0.75652285129604402</v>
      </c>
      <c r="D261">
        <v>1.1685425193269701</v>
      </c>
      <c r="E261">
        <v>1.45478058208276</v>
      </c>
      <c r="F261">
        <v>1.4536437016825801</v>
      </c>
      <c r="G261">
        <v>2.3111357435197801</v>
      </c>
      <c r="H261">
        <v>2.24292291950887</v>
      </c>
      <c r="I261">
        <v>2.8257162346521101</v>
      </c>
      <c r="J261">
        <v>2.2359595270577501</v>
      </c>
      <c r="K261">
        <v>2.8149158708503901</v>
      </c>
      <c r="L261">
        <v>11531.1103317255</v>
      </c>
      <c r="M261">
        <v>250</v>
      </c>
      <c r="O261">
        <v>46.121491233606498</v>
      </c>
      <c r="P261">
        <v>0.67755834125524805</v>
      </c>
      <c r="Q261">
        <v>1.5</v>
      </c>
      <c r="R261">
        <v>-4.1678780282903102E-2</v>
      </c>
      <c r="S261" t="s">
        <v>1587</v>
      </c>
      <c r="T261" t="s">
        <v>2650</v>
      </c>
      <c r="U261" t="s">
        <v>2650</v>
      </c>
      <c r="V261" t="s">
        <v>2650</v>
      </c>
      <c r="W261" t="s">
        <v>2911</v>
      </c>
      <c r="X261">
        <v>9</v>
      </c>
      <c r="Y261" t="s">
        <v>4231</v>
      </c>
      <c r="Z261" t="s">
        <v>5541</v>
      </c>
      <c r="AA261">
        <v>1.39788550404663</v>
      </c>
      <c r="AB261" t="str">
        <f>HYPERLINK("Melting_Curves/meltCurve_P06396_2_GSN.pdf", "Melting_Curves/meltCurve_P06396_2_GSN.pdf")</f>
        <v>Melting_Curves/meltCurve_P06396_2_GSN.pdf</v>
      </c>
    </row>
    <row r="262" spans="1:28" x14ac:dyDescent="0.25">
      <c r="A262" t="s">
        <v>266</v>
      </c>
      <c r="B262">
        <v>1</v>
      </c>
      <c r="C262">
        <v>0.74389229031682802</v>
      </c>
      <c r="D262">
        <v>0.78799857338168</v>
      </c>
      <c r="E262">
        <v>1.03845925221423</v>
      </c>
      <c r="F262">
        <v>0.89838316590382195</v>
      </c>
      <c r="G262">
        <v>0.90287106936931605</v>
      </c>
      <c r="H262">
        <v>0.92792605361707203</v>
      </c>
      <c r="I262">
        <v>1.45622065030018</v>
      </c>
      <c r="J262">
        <v>0.799738453307971</v>
      </c>
      <c r="K262">
        <v>1.3372466266420999</v>
      </c>
      <c r="L262">
        <v>1191.4994290116299</v>
      </c>
      <c r="M262">
        <v>16.804398055384102</v>
      </c>
      <c r="O262">
        <v>69.922758074028096</v>
      </c>
      <c r="P262">
        <v>3.00429457631919E-2</v>
      </c>
      <c r="Q262">
        <v>1.5</v>
      </c>
      <c r="R262">
        <v>0.15656594146182301</v>
      </c>
      <c r="S262" t="s">
        <v>1588</v>
      </c>
      <c r="T262" t="s">
        <v>2650</v>
      </c>
      <c r="U262" t="s">
        <v>2650</v>
      </c>
      <c r="V262" t="s">
        <v>2650</v>
      </c>
      <c r="W262" t="s">
        <v>2912</v>
      </c>
      <c r="X262">
        <v>1</v>
      </c>
      <c r="Y262" t="s">
        <v>4232</v>
      </c>
      <c r="Z262" t="s">
        <v>5542</v>
      </c>
      <c r="AA262">
        <v>1.035819600155258</v>
      </c>
      <c r="AB262" t="str">
        <f>HYPERLINK("Melting_Curves/meltCurve_P06576_ATP5B.pdf", "Melting_Curves/meltCurve_P06576_ATP5B.pdf")</f>
        <v>Melting_Curves/meltCurve_P06576_ATP5B.pdf</v>
      </c>
    </row>
    <row r="263" spans="1:28" x14ac:dyDescent="0.25">
      <c r="A263" t="s">
        <v>267</v>
      </c>
      <c r="B263">
        <v>1</v>
      </c>
      <c r="C263">
        <v>0.88622561401623001</v>
      </c>
      <c r="D263">
        <v>1.30827108077605</v>
      </c>
      <c r="E263">
        <v>1.6880206373945299</v>
      </c>
      <c r="F263">
        <v>1.5684688558069499</v>
      </c>
      <c r="G263">
        <v>1.89998387703552</v>
      </c>
      <c r="H263">
        <v>1.6727575643574999</v>
      </c>
      <c r="I263">
        <v>2.2641747729349202</v>
      </c>
      <c r="J263">
        <v>1.6922394797656799</v>
      </c>
      <c r="K263">
        <v>2.0718546783468601</v>
      </c>
      <c r="L263">
        <v>11478.1547409018</v>
      </c>
      <c r="M263">
        <v>250</v>
      </c>
      <c r="O263">
        <v>45.909681348512599</v>
      </c>
      <c r="P263">
        <v>0.68068432301923998</v>
      </c>
      <c r="Q263">
        <v>1.5</v>
      </c>
      <c r="R263">
        <v>0.31194904026663001</v>
      </c>
      <c r="S263" t="s">
        <v>1589</v>
      </c>
      <c r="T263" t="s">
        <v>2650</v>
      </c>
      <c r="U263" t="s">
        <v>2650</v>
      </c>
      <c r="V263" t="s">
        <v>2650</v>
      </c>
      <c r="W263" t="s">
        <v>2913</v>
      </c>
      <c r="X263">
        <v>6</v>
      </c>
      <c r="Y263" t="s">
        <v>4233</v>
      </c>
      <c r="Z263" t="s">
        <v>5543</v>
      </c>
      <c r="AA263">
        <v>1.4014160626406851</v>
      </c>
      <c r="AB263" t="str">
        <f>HYPERLINK("Melting_Curves/meltCurve_P06681_C2.pdf", "Melting_Curves/meltCurve_P06681_C2.pdf")</f>
        <v>Melting_Curves/meltCurve_P06681_C2.pdf</v>
      </c>
    </row>
    <row r="264" spans="1:28" x14ac:dyDescent="0.25">
      <c r="A264" t="s">
        <v>268</v>
      </c>
      <c r="B264">
        <v>1</v>
      </c>
      <c r="C264">
        <v>0.75957375957376005</v>
      </c>
      <c r="D264">
        <v>1.11674991674992</v>
      </c>
      <c r="E264">
        <v>1.3039627039627</v>
      </c>
      <c r="F264">
        <v>1.02184482184482</v>
      </c>
      <c r="G264">
        <v>1.11095571095571</v>
      </c>
      <c r="H264">
        <v>0.98388278388278405</v>
      </c>
      <c r="I264">
        <v>1.15677655677656</v>
      </c>
      <c r="J264">
        <v>0.73293373293373298</v>
      </c>
      <c r="K264">
        <v>0.99946719946719897</v>
      </c>
      <c r="L264">
        <v>1477.1054932864399</v>
      </c>
      <c r="M264">
        <v>21.874010642640801</v>
      </c>
      <c r="O264">
        <v>66.971087335927095</v>
      </c>
      <c r="P264">
        <v>-9.5083478801311801E-3</v>
      </c>
      <c r="Q264">
        <v>0.88355681396647501</v>
      </c>
      <c r="R264">
        <v>2.3991689658387001E-2</v>
      </c>
      <c r="S264" t="s">
        <v>1590</v>
      </c>
      <c r="T264" t="s">
        <v>2650</v>
      </c>
      <c r="U264" t="s">
        <v>2650</v>
      </c>
      <c r="V264" t="s">
        <v>2650</v>
      </c>
      <c r="W264" t="s">
        <v>2914</v>
      </c>
      <c r="X264">
        <v>11</v>
      </c>
      <c r="Y264" t="s">
        <v>4234</v>
      </c>
      <c r="Z264" t="s">
        <v>5544</v>
      </c>
      <c r="AA264">
        <v>0.98676847432444503</v>
      </c>
      <c r="AB264" t="str">
        <f>HYPERLINK("Melting_Curves/meltCurve_P06702_S100A9.pdf", "Melting_Curves/meltCurve_P06702_S100A9.pdf")</f>
        <v>Melting_Curves/meltCurve_P06702_S100A9.pdf</v>
      </c>
    </row>
    <row r="265" spans="1:28" x14ac:dyDescent="0.25">
      <c r="A265" t="s">
        <v>269</v>
      </c>
      <c r="B265">
        <v>1</v>
      </c>
      <c r="C265">
        <v>0.93409896287500704</v>
      </c>
      <c r="D265">
        <v>1.0822464238668601</v>
      </c>
      <c r="E265">
        <v>1.14243306925917</v>
      </c>
      <c r="F265">
        <v>1.20978125753725</v>
      </c>
      <c r="G265">
        <v>1.423013413978</v>
      </c>
      <c r="H265">
        <v>1.09779402215254</v>
      </c>
      <c r="I265">
        <v>1.37763223807492</v>
      </c>
      <c r="J265">
        <v>1.13078164715486</v>
      </c>
      <c r="K265">
        <v>1.2345312528989401</v>
      </c>
      <c r="L265">
        <v>1347.1307712278101</v>
      </c>
      <c r="M265">
        <v>27.660260031750699</v>
      </c>
      <c r="O265">
        <v>48.450324004353</v>
      </c>
      <c r="P265">
        <v>3.5457567503842498E-2</v>
      </c>
      <c r="Q265">
        <v>1.2484308023061399</v>
      </c>
      <c r="R265">
        <v>0.56225880818062302</v>
      </c>
      <c r="S265" t="s">
        <v>1591</v>
      </c>
      <c r="T265" t="s">
        <v>2650</v>
      </c>
      <c r="U265" t="s">
        <v>2650</v>
      </c>
      <c r="V265" t="s">
        <v>2650</v>
      </c>
      <c r="W265" t="s">
        <v>2915</v>
      </c>
      <c r="X265">
        <v>3</v>
      </c>
      <c r="Y265" t="s">
        <v>4235</v>
      </c>
      <c r="Z265" t="s">
        <v>5545</v>
      </c>
      <c r="AA265">
        <v>1.174581052873493</v>
      </c>
      <c r="AB265" t="str">
        <f>HYPERLINK("Melting_Curves/meltCurve_P06703_S100A6.pdf", "Melting_Curves/meltCurve_P06703_S100A6.pdf")</f>
        <v>Melting_Curves/meltCurve_P06703_S100A6.pdf</v>
      </c>
    </row>
    <row r="266" spans="1:28" x14ac:dyDescent="0.25">
      <c r="A266" t="s">
        <v>270</v>
      </c>
      <c r="B266">
        <v>1</v>
      </c>
      <c r="C266">
        <v>0.78518083315443998</v>
      </c>
      <c r="D266">
        <v>0.91686533268555004</v>
      </c>
      <c r="E266">
        <v>0.94813969516535401</v>
      </c>
      <c r="F266">
        <v>0.68858960308224204</v>
      </c>
      <c r="G266">
        <v>0.690216593037839</v>
      </c>
      <c r="H266">
        <v>0.63051510050052495</v>
      </c>
      <c r="I266">
        <v>0.70049826567390105</v>
      </c>
      <c r="J266">
        <v>0.501553549436768</v>
      </c>
      <c r="K266">
        <v>0.61642581942671204</v>
      </c>
      <c r="L266">
        <v>325.172823030286</v>
      </c>
      <c r="M266">
        <v>5.7481190890978402</v>
      </c>
      <c r="O266">
        <v>50.845930539463197</v>
      </c>
      <c r="P266">
        <v>-1.6231648531651099E-2</v>
      </c>
      <c r="Q266">
        <v>0.42783908488637401</v>
      </c>
      <c r="R266">
        <v>0.72915096365751197</v>
      </c>
      <c r="S266" t="s">
        <v>1592</v>
      </c>
      <c r="T266" t="s">
        <v>2650</v>
      </c>
      <c r="U266" t="s">
        <v>2650</v>
      </c>
      <c r="V266" t="s">
        <v>2650</v>
      </c>
      <c r="W266" t="s">
        <v>2916</v>
      </c>
      <c r="X266">
        <v>15</v>
      </c>
      <c r="Y266" t="s">
        <v>4236</v>
      </c>
      <c r="Z266" t="s">
        <v>5546</v>
      </c>
      <c r="AA266">
        <v>0.74794851198829482</v>
      </c>
      <c r="AB266" t="str">
        <f>HYPERLINK("Melting_Curves/meltCurve_P06727_APOA4.pdf", "Melting_Curves/meltCurve_P06727_APOA4.pdf")</f>
        <v>Melting_Curves/meltCurve_P06727_APOA4.pdf</v>
      </c>
    </row>
    <row r="267" spans="1:28" x14ac:dyDescent="0.25">
      <c r="A267" t="s">
        <v>271</v>
      </c>
      <c r="B267">
        <v>1</v>
      </c>
      <c r="C267">
        <v>0.80960900784847001</v>
      </c>
      <c r="D267">
        <v>1.2126004914239401</v>
      </c>
      <c r="E267">
        <v>1.4733175886829399</v>
      </c>
      <c r="F267">
        <v>1.30353777523319</v>
      </c>
      <c r="G267">
        <v>1.90422004341707</v>
      </c>
      <c r="H267">
        <v>2.00856413559484</v>
      </c>
      <c r="I267">
        <v>2.7064099811541298</v>
      </c>
      <c r="J267">
        <v>2.1093060426059802</v>
      </c>
      <c r="K267">
        <v>2.8450106157112498</v>
      </c>
      <c r="L267">
        <v>11513.867093721699</v>
      </c>
      <c r="M267">
        <v>250</v>
      </c>
      <c r="O267">
        <v>46.052521024802203</v>
      </c>
      <c r="P267">
        <v>0.67857305679632995</v>
      </c>
      <c r="Q267">
        <v>1.5</v>
      </c>
      <c r="R267">
        <v>4.8367164233254399E-2</v>
      </c>
      <c r="S267" t="s">
        <v>1593</v>
      </c>
      <c r="T267" t="s">
        <v>2650</v>
      </c>
      <c r="U267" t="s">
        <v>2650</v>
      </c>
      <c r="V267" t="s">
        <v>2650</v>
      </c>
      <c r="W267" t="s">
        <v>2917</v>
      </c>
      <c r="X267">
        <v>20</v>
      </c>
      <c r="Y267" t="s">
        <v>4237</v>
      </c>
      <c r="Z267" t="s">
        <v>5547</v>
      </c>
      <c r="AA267">
        <v>1.399035113770112</v>
      </c>
      <c r="AB267" t="str">
        <f>HYPERLINK("Melting_Curves/meltCurve_P06733_ENO1.pdf", "Melting_Curves/meltCurve_P06733_ENO1.pdf")</f>
        <v>Melting_Curves/meltCurve_P06733_ENO1.pdf</v>
      </c>
    </row>
    <row r="268" spans="1:28" x14ac:dyDescent="0.25">
      <c r="A268" t="s">
        <v>272</v>
      </c>
      <c r="B268">
        <v>1</v>
      </c>
      <c r="C268">
        <v>0.65235702495387904</v>
      </c>
      <c r="D268">
        <v>1.16854791727352</v>
      </c>
      <c r="E268">
        <v>1.3400572871152501</v>
      </c>
      <c r="F268">
        <v>0.94023691620545702</v>
      </c>
      <c r="G268">
        <v>0.89161569084377101</v>
      </c>
      <c r="H268">
        <v>0.80691086513253696</v>
      </c>
      <c r="I268">
        <v>0.951038935819012</v>
      </c>
      <c r="J268">
        <v>0.55547868725118899</v>
      </c>
      <c r="K268">
        <v>0.80833090591319501</v>
      </c>
      <c r="L268">
        <v>1247.3510931396199</v>
      </c>
      <c r="M268">
        <v>20.640117823020599</v>
      </c>
      <c r="O268">
        <v>59.874624981326399</v>
      </c>
      <c r="P268">
        <v>-2.44930380102844E-2</v>
      </c>
      <c r="Q268">
        <v>0.71580214241331197</v>
      </c>
      <c r="R268">
        <v>0.27669907812595501</v>
      </c>
      <c r="S268" t="s">
        <v>1594</v>
      </c>
      <c r="T268" t="s">
        <v>2650</v>
      </c>
      <c r="U268" t="s">
        <v>2650</v>
      </c>
      <c r="V268" t="s">
        <v>2650</v>
      </c>
      <c r="W268" t="s">
        <v>2918</v>
      </c>
      <c r="X268">
        <v>12</v>
      </c>
      <c r="Y268" t="s">
        <v>4238</v>
      </c>
      <c r="Z268" t="s">
        <v>5548</v>
      </c>
      <c r="AA268">
        <v>0.91149641085560917</v>
      </c>
      <c r="AB268" t="str">
        <f>HYPERLINK("Melting_Curves/meltCurve_P06753_5_TPM3.pdf", "Melting_Curves/meltCurve_P06753_5_TPM3.pdf")</f>
        <v>Melting_Curves/meltCurve_P06753_5_TPM3.pdf</v>
      </c>
    </row>
    <row r="269" spans="1:28" x14ac:dyDescent="0.25">
      <c r="A269" t="s">
        <v>273</v>
      </c>
      <c r="B269">
        <v>1</v>
      </c>
      <c r="C269">
        <v>0.581024596752586</v>
      </c>
      <c r="D269">
        <v>1.0393601629066</v>
      </c>
      <c r="E269">
        <v>1.0385027597663601</v>
      </c>
      <c r="F269">
        <v>0.64549059535930597</v>
      </c>
      <c r="G269">
        <v>0.96042548630834401</v>
      </c>
      <c r="H269">
        <v>0.81737313112909304</v>
      </c>
      <c r="I269">
        <v>0.74331493489094902</v>
      </c>
      <c r="J269">
        <v>0.531000482289266</v>
      </c>
      <c r="K269">
        <v>0.730962970901881</v>
      </c>
      <c r="L269">
        <v>185.98161504388699</v>
      </c>
      <c r="M269">
        <v>1.8949600078033899</v>
      </c>
      <c r="O269">
        <v>56.354807582498402</v>
      </c>
      <c r="P269">
        <v>-9.2633665847030103E-3</v>
      </c>
      <c r="Q269">
        <v>0</v>
      </c>
      <c r="R269">
        <v>0.18721149854576699</v>
      </c>
      <c r="S269" t="s">
        <v>1595</v>
      </c>
      <c r="T269" t="s">
        <v>2650</v>
      </c>
      <c r="U269" t="s">
        <v>2650</v>
      </c>
      <c r="V269" t="s">
        <v>2650</v>
      </c>
      <c r="W269" t="s">
        <v>2919</v>
      </c>
      <c r="X269">
        <v>1</v>
      </c>
      <c r="Y269" t="s">
        <v>4239</v>
      </c>
      <c r="Z269" t="s">
        <v>5549</v>
      </c>
      <c r="AA269">
        <v>0.81428513346581199</v>
      </c>
      <c r="AB269" t="str">
        <f>HYPERLINK("Melting_Curves/meltCurve_P06756_3_ITGAV.pdf", "Melting_Curves/meltCurve_P06756_3_ITGAV.pdf")</f>
        <v>Melting_Curves/meltCurve_P06756_3_ITGAV.pdf</v>
      </c>
    </row>
    <row r="270" spans="1:28" x14ac:dyDescent="0.25">
      <c r="A270" t="s">
        <v>274</v>
      </c>
      <c r="B270">
        <v>1</v>
      </c>
      <c r="C270">
        <v>0.82112027115292996</v>
      </c>
      <c r="D270">
        <v>1.11698766042332</v>
      </c>
      <c r="E270">
        <v>1.3108372905890899</v>
      </c>
      <c r="F270">
        <v>1.01108620050488</v>
      </c>
      <c r="G270">
        <v>1.2238247391741801</v>
      </c>
      <c r="H270">
        <v>1.06891803625964</v>
      </c>
      <c r="I270">
        <v>1.3162391653573899</v>
      </c>
      <c r="J270">
        <v>0.84791780676823103</v>
      </c>
      <c r="K270">
        <v>1.10595441947499</v>
      </c>
      <c r="L270">
        <v>11384.0657186356</v>
      </c>
      <c r="M270">
        <v>250</v>
      </c>
      <c r="O270">
        <v>45.533353304373399</v>
      </c>
      <c r="P270">
        <v>0.173494927839076</v>
      </c>
      <c r="Q270">
        <v>1.1263968810546301</v>
      </c>
      <c r="R270">
        <v>0.21902304897234201</v>
      </c>
      <c r="S270" t="s">
        <v>1596</v>
      </c>
      <c r="T270" t="s">
        <v>2650</v>
      </c>
      <c r="U270" t="s">
        <v>2650</v>
      </c>
      <c r="V270" t="s">
        <v>2650</v>
      </c>
      <c r="W270" t="s">
        <v>2920</v>
      </c>
      <c r="X270">
        <v>15</v>
      </c>
      <c r="Y270" t="s">
        <v>4240</v>
      </c>
      <c r="Z270" t="s">
        <v>5550</v>
      </c>
      <c r="AA270">
        <v>1.103061234658506</v>
      </c>
      <c r="AB270" t="str">
        <f>HYPERLINK("Melting_Curves/meltCurve_P06858_LPL.pdf", "Melting_Curves/meltCurve_P06858_LPL.pdf")</f>
        <v>Melting_Curves/meltCurve_P06858_LPL.pdf</v>
      </c>
    </row>
    <row r="271" spans="1:28" x14ac:dyDescent="0.25">
      <c r="A271" t="s">
        <v>275</v>
      </c>
      <c r="B271">
        <v>1</v>
      </c>
      <c r="C271">
        <v>0.94321653189577703</v>
      </c>
      <c r="D271">
        <v>1.2386343216531901</v>
      </c>
      <c r="E271">
        <v>1.6336927223719699</v>
      </c>
      <c r="F271">
        <v>1.8475292003593899</v>
      </c>
      <c r="G271">
        <v>3.39245283018868</v>
      </c>
      <c r="H271">
        <v>3.0091644204851802</v>
      </c>
      <c r="I271">
        <v>3.8994609164420502</v>
      </c>
      <c r="J271">
        <v>2.9285714285714302</v>
      </c>
      <c r="K271">
        <v>3.7118598382749299</v>
      </c>
      <c r="L271">
        <v>11504.1854555397</v>
      </c>
      <c r="M271">
        <v>250</v>
      </c>
      <c r="O271">
        <v>46.0137969082935</v>
      </c>
      <c r="P271">
        <v>0.67914412711162497</v>
      </c>
      <c r="Q271">
        <v>1.5</v>
      </c>
      <c r="R271">
        <v>-0.56904379503052704</v>
      </c>
      <c r="S271" t="s">
        <v>1597</v>
      </c>
      <c r="T271" t="s">
        <v>2650</v>
      </c>
      <c r="U271" t="s">
        <v>2650</v>
      </c>
      <c r="V271" t="s">
        <v>2650</v>
      </c>
      <c r="W271" t="s">
        <v>2921</v>
      </c>
      <c r="X271">
        <v>7</v>
      </c>
      <c r="Y271" t="s">
        <v>4241</v>
      </c>
      <c r="Z271" t="s">
        <v>5551</v>
      </c>
      <c r="AA271">
        <v>1.3996805902978271</v>
      </c>
      <c r="AB271" t="str">
        <f>HYPERLINK("Melting_Curves/meltCurve_P06865_HEXA.pdf", "Melting_Curves/meltCurve_P06865_HEXA.pdf")</f>
        <v>Melting_Curves/meltCurve_P06865_HEXA.pdf</v>
      </c>
    </row>
    <row r="272" spans="1:28" x14ac:dyDescent="0.25">
      <c r="A272" t="s">
        <v>276</v>
      </c>
      <c r="B272">
        <v>1</v>
      </c>
      <c r="C272">
        <v>0.80514687421541598</v>
      </c>
      <c r="D272">
        <v>1.2594359360616001</v>
      </c>
      <c r="E272">
        <v>1.3591095489162299</v>
      </c>
      <c r="F272">
        <v>1.12603565151896</v>
      </c>
      <c r="G272">
        <v>1.12160013390242</v>
      </c>
      <c r="H272">
        <v>1.02711523976902</v>
      </c>
      <c r="I272">
        <v>1.3703238764750201</v>
      </c>
      <c r="J272">
        <v>1.0298769771528999</v>
      </c>
      <c r="K272">
        <v>1.17532847937066</v>
      </c>
      <c r="L272">
        <v>11121.318604631</v>
      </c>
      <c r="M272">
        <v>250</v>
      </c>
      <c r="O272">
        <v>44.4824280731371</v>
      </c>
      <c r="P272">
        <v>0.25797327698374301</v>
      </c>
      <c r="Q272">
        <v>1.1836044418749101</v>
      </c>
      <c r="R272">
        <v>0.39456450923424502</v>
      </c>
      <c r="S272" t="s">
        <v>1598</v>
      </c>
      <c r="T272" t="s">
        <v>2650</v>
      </c>
      <c r="U272" t="s">
        <v>2650</v>
      </c>
      <c r="V272" t="s">
        <v>2650</v>
      </c>
      <c r="W272" t="s">
        <v>2922</v>
      </c>
      <c r="X272">
        <v>2</v>
      </c>
      <c r="Y272" t="s">
        <v>4242</v>
      </c>
      <c r="Z272" t="s">
        <v>5552</v>
      </c>
      <c r="AA272">
        <v>1.1561395641567931</v>
      </c>
      <c r="AB272" t="str">
        <f>HYPERLINK("Melting_Curves/meltCurve_P06870_2_KLK1.pdf", "Melting_Curves/meltCurve_P06870_2_KLK1.pdf")</f>
        <v>Melting_Curves/meltCurve_P06870_2_KLK1.pdf</v>
      </c>
    </row>
    <row r="273" spans="1:28" x14ac:dyDescent="0.25">
      <c r="A273" t="s">
        <v>277</v>
      </c>
      <c r="B273">
        <v>1</v>
      </c>
      <c r="C273">
        <v>0.68935582376036098</v>
      </c>
      <c r="D273">
        <v>1.12396393776356</v>
      </c>
      <c r="E273">
        <v>1.16097135378799</v>
      </c>
      <c r="F273">
        <v>0.93578595317725799</v>
      </c>
      <c r="G273">
        <v>0.788134360913189</v>
      </c>
      <c r="H273">
        <v>0.84270757597789703</v>
      </c>
      <c r="I273">
        <v>0.89064999272938805</v>
      </c>
      <c r="J273">
        <v>0.529853133633852</v>
      </c>
      <c r="K273">
        <v>0.74003199069361603</v>
      </c>
      <c r="L273">
        <v>876.665099474812</v>
      </c>
      <c r="M273">
        <v>14.404185284179899</v>
      </c>
      <c r="O273">
        <v>59.724840561143097</v>
      </c>
      <c r="P273">
        <v>-2.2433748342879499E-2</v>
      </c>
      <c r="Q273">
        <v>0.62797106594989904</v>
      </c>
      <c r="R273">
        <v>0.383479437902144</v>
      </c>
      <c r="S273" t="s">
        <v>1599</v>
      </c>
      <c r="T273" t="s">
        <v>2650</v>
      </c>
      <c r="U273" t="s">
        <v>2650</v>
      </c>
      <c r="V273" t="s">
        <v>2650</v>
      </c>
      <c r="W273" t="s">
        <v>2923</v>
      </c>
      <c r="X273">
        <v>7</v>
      </c>
      <c r="Y273" t="s">
        <v>4243</v>
      </c>
      <c r="Z273" t="s">
        <v>5553</v>
      </c>
      <c r="AA273">
        <v>0.88752394314977279</v>
      </c>
      <c r="AB273" t="str">
        <f>HYPERLINK("Melting_Curves/meltCurve_P07108_DBI.pdf", "Melting_Curves/meltCurve_P07108_DBI.pdf")</f>
        <v>Melting_Curves/meltCurve_P07108_DBI.pdf</v>
      </c>
    </row>
    <row r="274" spans="1:28" x14ac:dyDescent="0.25">
      <c r="A274" t="s">
        <v>278</v>
      </c>
      <c r="B274">
        <v>1</v>
      </c>
      <c r="C274">
        <v>0.76263518941969</v>
      </c>
      <c r="D274">
        <v>1.25406340770039</v>
      </c>
      <c r="E274">
        <v>1.65403868734936</v>
      </c>
      <c r="F274">
        <v>1.2874358815895199</v>
      </c>
      <c r="G274">
        <v>1.8268339410419601</v>
      </c>
      <c r="H274">
        <v>1.96440269451826</v>
      </c>
      <c r="I274">
        <v>2.9137877757864201</v>
      </c>
      <c r="J274">
        <v>1.8395649218218899</v>
      </c>
      <c r="K274">
        <v>2.5607811630925199</v>
      </c>
      <c r="L274">
        <v>11498.504539376599</v>
      </c>
      <c r="M274">
        <v>250</v>
      </c>
      <c r="O274">
        <v>45.991074870372799</v>
      </c>
      <c r="P274">
        <v>0.67947966299257001</v>
      </c>
      <c r="Q274">
        <v>1.5</v>
      </c>
      <c r="R274">
        <v>9.1652265166224905E-2</v>
      </c>
      <c r="S274" t="s">
        <v>1600</v>
      </c>
      <c r="T274" t="s">
        <v>2650</v>
      </c>
      <c r="U274" t="s">
        <v>2650</v>
      </c>
      <c r="V274" t="s">
        <v>2650</v>
      </c>
      <c r="W274" t="s">
        <v>2924</v>
      </c>
      <c r="X274">
        <v>4</v>
      </c>
      <c r="Y274" t="s">
        <v>4244</v>
      </c>
      <c r="Z274" t="s">
        <v>5554</v>
      </c>
      <c r="AA274">
        <v>1.4000593379818731</v>
      </c>
      <c r="AB274" t="str">
        <f>HYPERLINK("Melting_Curves/meltCurve_P07195_LDHB.pdf", "Melting_Curves/meltCurve_P07195_LDHB.pdf")</f>
        <v>Melting_Curves/meltCurve_P07195_LDHB.pdf</v>
      </c>
    </row>
    <row r="275" spans="1:28" x14ac:dyDescent="0.25">
      <c r="A275" t="s">
        <v>279</v>
      </c>
      <c r="B275">
        <v>1</v>
      </c>
      <c r="C275">
        <v>0.87554048912103499</v>
      </c>
      <c r="D275">
        <v>1.0420630253554299</v>
      </c>
      <c r="E275">
        <v>1.4003251582552101</v>
      </c>
      <c r="F275">
        <v>1.1537237538482801</v>
      </c>
      <c r="G275">
        <v>1.4596146528762699</v>
      </c>
      <c r="H275">
        <v>1.65066242346674</v>
      </c>
      <c r="I275">
        <v>1.9797640873084501</v>
      </c>
      <c r="J275">
        <v>1.9198173579162201</v>
      </c>
      <c r="K275">
        <v>2.4460202705039999</v>
      </c>
      <c r="L275">
        <v>1159.2855989386001</v>
      </c>
      <c r="M275">
        <v>23.191437440372301</v>
      </c>
      <c r="O275">
        <v>49.620413457797703</v>
      </c>
      <c r="P275">
        <v>5.8423151119161701E-2</v>
      </c>
      <c r="Q275">
        <v>1.5</v>
      </c>
      <c r="R275">
        <v>0.37917227494285699</v>
      </c>
      <c r="S275" t="s">
        <v>1601</v>
      </c>
      <c r="T275" t="s">
        <v>2650</v>
      </c>
      <c r="U275" t="s">
        <v>2650</v>
      </c>
      <c r="V275" t="s">
        <v>2650</v>
      </c>
      <c r="W275" t="s">
        <v>2925</v>
      </c>
      <c r="X275">
        <v>1</v>
      </c>
      <c r="Y275" t="s">
        <v>4245</v>
      </c>
      <c r="Z275" t="s">
        <v>5555</v>
      </c>
      <c r="AA275">
        <v>1.328344635300069</v>
      </c>
      <c r="AB275" t="str">
        <f>HYPERLINK("Melting_Curves/meltCurve_P07203_GPX1.pdf", "Melting_Curves/meltCurve_P07203_GPX1.pdf")</f>
        <v>Melting_Curves/meltCurve_P07203_GPX1.pdf</v>
      </c>
    </row>
    <row r="276" spans="1:28" x14ac:dyDescent="0.25">
      <c r="A276" t="s">
        <v>280</v>
      </c>
      <c r="B276">
        <v>1</v>
      </c>
      <c r="C276">
        <v>0.77532241199024099</v>
      </c>
      <c r="D276">
        <v>1.26043917741373</v>
      </c>
      <c r="E276">
        <v>1.6374346462181899</v>
      </c>
      <c r="F276">
        <v>1.1912861624259301</v>
      </c>
      <c r="G276">
        <v>1.3059602649006601</v>
      </c>
      <c r="H276">
        <v>1.14130359010108</v>
      </c>
      <c r="I276">
        <v>1.35587312652492</v>
      </c>
      <c r="J276">
        <v>0.82418961310561201</v>
      </c>
      <c r="K276">
        <v>1.2036249564308099</v>
      </c>
      <c r="L276">
        <v>11153.6759353081</v>
      </c>
      <c r="M276">
        <v>250</v>
      </c>
      <c r="O276">
        <v>44.611830645306704</v>
      </c>
      <c r="P276">
        <v>0.33627192135173201</v>
      </c>
      <c r="Q276">
        <v>1.2400273935508599</v>
      </c>
      <c r="R276">
        <v>0.29570759420433201</v>
      </c>
      <c r="S276" t="s">
        <v>1602</v>
      </c>
      <c r="T276" t="s">
        <v>2650</v>
      </c>
      <c r="U276" t="s">
        <v>2650</v>
      </c>
      <c r="V276" t="s">
        <v>2650</v>
      </c>
      <c r="W276" t="s">
        <v>2926</v>
      </c>
      <c r="X276">
        <v>8</v>
      </c>
      <c r="Y276" t="s">
        <v>4246</v>
      </c>
      <c r="Z276" t="s">
        <v>5556</v>
      </c>
      <c r="AA276">
        <v>1.2030867561588461</v>
      </c>
      <c r="AB276" t="str">
        <f>HYPERLINK("Melting_Curves/meltCurve_P07225_PROS1.pdf", "Melting_Curves/meltCurve_P07225_PROS1.pdf")</f>
        <v>Melting_Curves/meltCurve_P07225_PROS1.pdf</v>
      </c>
    </row>
    <row r="277" spans="1:28" x14ac:dyDescent="0.25">
      <c r="A277" t="s">
        <v>281</v>
      </c>
      <c r="B277">
        <v>1</v>
      </c>
      <c r="C277">
        <v>0.85112105693506002</v>
      </c>
      <c r="D277">
        <v>1.1102982312691001</v>
      </c>
      <c r="E277">
        <v>1.2355510608081901</v>
      </c>
      <c r="F277">
        <v>1.0178379308860901</v>
      </c>
      <c r="G277">
        <v>1.0642294616344601</v>
      </c>
      <c r="H277">
        <v>0.90887377888711995</v>
      </c>
      <c r="I277">
        <v>1.0204630546111799</v>
      </c>
      <c r="J277">
        <v>0.73617506562809298</v>
      </c>
      <c r="K277">
        <v>0.958041055213668</v>
      </c>
      <c r="L277">
        <v>11533.568677524499</v>
      </c>
      <c r="M277">
        <v>176.97352482455199</v>
      </c>
      <c r="O277">
        <v>65.162831497621895</v>
      </c>
      <c r="P277">
        <v>-0.103603609401426</v>
      </c>
      <c r="Q277">
        <v>0.84740984254846896</v>
      </c>
      <c r="R277">
        <v>0.26104360213497002</v>
      </c>
      <c r="S277" t="s">
        <v>1603</v>
      </c>
      <c r="T277" t="s">
        <v>2650</v>
      </c>
      <c r="U277" t="s">
        <v>2650</v>
      </c>
      <c r="V277" t="s">
        <v>2650</v>
      </c>
      <c r="W277" t="s">
        <v>2927</v>
      </c>
      <c r="X277">
        <v>14</v>
      </c>
      <c r="Y277" t="s">
        <v>4247</v>
      </c>
      <c r="Z277" t="s">
        <v>5557</v>
      </c>
      <c r="AA277">
        <v>0.97547367357276449</v>
      </c>
      <c r="AB277" t="str">
        <f>HYPERLINK("Melting_Curves/meltCurve_P07237_P4HB.pdf", "Melting_Curves/meltCurve_P07237_P4HB.pdf")</f>
        <v>Melting_Curves/meltCurve_P07237_P4HB.pdf</v>
      </c>
    </row>
    <row r="278" spans="1:28" x14ac:dyDescent="0.25">
      <c r="A278" t="s">
        <v>282</v>
      </c>
      <c r="B278">
        <v>1</v>
      </c>
      <c r="C278">
        <v>0.85697743822370798</v>
      </c>
      <c r="D278">
        <v>1.47594604273606</v>
      </c>
      <c r="E278">
        <v>1.8400381998328801</v>
      </c>
      <c r="F278">
        <v>1.3913095380207701</v>
      </c>
      <c r="G278">
        <v>1.46842545063865</v>
      </c>
      <c r="H278">
        <v>1.3951295213083399</v>
      </c>
      <c r="I278">
        <v>1.5617762922287199</v>
      </c>
      <c r="J278">
        <v>0.98548406350722195</v>
      </c>
      <c r="K278">
        <v>1.38904142294377</v>
      </c>
      <c r="L278">
        <v>11130.2216524329</v>
      </c>
      <c r="M278">
        <v>250</v>
      </c>
      <c r="O278">
        <v>44.518055810667398</v>
      </c>
      <c r="P278">
        <v>0.61554239849548498</v>
      </c>
      <c r="Q278">
        <v>1.4384438345730299</v>
      </c>
      <c r="R278">
        <v>0.49680171857222299</v>
      </c>
      <c r="S278" t="s">
        <v>1604</v>
      </c>
      <c r="T278" t="s">
        <v>2650</v>
      </c>
      <c r="U278" t="s">
        <v>2650</v>
      </c>
      <c r="V278" t="s">
        <v>2650</v>
      </c>
      <c r="W278" t="s">
        <v>2928</v>
      </c>
      <c r="X278">
        <v>17</v>
      </c>
      <c r="Y278" t="s">
        <v>4248</v>
      </c>
      <c r="Z278" t="s">
        <v>5558</v>
      </c>
      <c r="AA278">
        <v>1.372337748743172</v>
      </c>
      <c r="AB278" t="str">
        <f>HYPERLINK("Melting_Curves/meltCurve_P07288_KLK3.pdf", "Melting_Curves/meltCurve_P07288_KLK3.pdf")</f>
        <v>Melting_Curves/meltCurve_P07288_KLK3.pdf</v>
      </c>
    </row>
    <row r="279" spans="1:28" x14ac:dyDescent="0.25">
      <c r="A279" t="s">
        <v>283</v>
      </c>
      <c r="B279">
        <v>1</v>
      </c>
      <c r="C279">
        <v>0.98895386614684899</v>
      </c>
      <c r="D279">
        <v>1.6157059314954101</v>
      </c>
      <c r="E279">
        <v>2.4069432841362701</v>
      </c>
      <c r="F279">
        <v>2.7199480181936302</v>
      </c>
      <c r="G279">
        <v>3.5127633899563699</v>
      </c>
      <c r="H279">
        <v>3.0921748816485701</v>
      </c>
      <c r="I279">
        <v>3.80432562888703</v>
      </c>
      <c r="J279">
        <v>2.7111296760419599</v>
      </c>
      <c r="K279">
        <v>3.54525201893623</v>
      </c>
      <c r="L279">
        <v>11048.8075774721</v>
      </c>
      <c r="M279">
        <v>250</v>
      </c>
      <c r="O279">
        <v>44.192402072857803</v>
      </c>
      <c r="P279">
        <v>0.70713513060579802</v>
      </c>
      <c r="Q279">
        <v>1.5</v>
      </c>
      <c r="R279">
        <v>-1.07604918788002</v>
      </c>
      <c r="S279" t="s">
        <v>1605</v>
      </c>
      <c r="T279" t="s">
        <v>2650</v>
      </c>
      <c r="U279" t="s">
        <v>2650</v>
      </c>
      <c r="V279" t="s">
        <v>2650</v>
      </c>
      <c r="W279" t="s">
        <v>2929</v>
      </c>
      <c r="X279">
        <v>22</v>
      </c>
      <c r="Y279" t="s">
        <v>4249</v>
      </c>
      <c r="Z279" t="s">
        <v>5559</v>
      </c>
      <c r="AA279">
        <v>1.4300407138644979</v>
      </c>
      <c r="AB279" t="str">
        <f>HYPERLINK("Melting_Curves/meltCurve_P07339_CTSD.pdf", "Melting_Curves/meltCurve_P07339_CTSD.pdf")</f>
        <v>Melting_Curves/meltCurve_P07339_CTSD.pdf</v>
      </c>
    </row>
    <row r="280" spans="1:28" x14ac:dyDescent="0.25">
      <c r="A280" t="s">
        <v>284</v>
      </c>
      <c r="B280">
        <v>1</v>
      </c>
      <c r="C280">
        <v>0.71688847967411595</v>
      </c>
      <c r="D280">
        <v>1.1511397561451999</v>
      </c>
      <c r="E280">
        <v>1.34438213219497</v>
      </c>
      <c r="F280">
        <v>1.2835021344270501</v>
      </c>
      <c r="G280">
        <v>2.6145754861750499</v>
      </c>
      <c r="H280">
        <v>2.9759214307636501</v>
      </c>
      <c r="I280">
        <v>3.62936302000502</v>
      </c>
      <c r="J280">
        <v>2.3505203537847699</v>
      </c>
      <c r="K280">
        <v>3.2847855807594701</v>
      </c>
      <c r="L280">
        <v>1748.7548249666499</v>
      </c>
      <c r="M280">
        <v>36.043186918285201</v>
      </c>
      <c r="O280">
        <v>48.369683518387902</v>
      </c>
      <c r="P280">
        <v>9.3145363656679594E-2</v>
      </c>
      <c r="Q280">
        <v>1.5</v>
      </c>
      <c r="R280">
        <v>-0.193215217909743</v>
      </c>
      <c r="S280" t="s">
        <v>1606</v>
      </c>
      <c r="T280" t="s">
        <v>2650</v>
      </c>
      <c r="U280" t="s">
        <v>2650</v>
      </c>
      <c r="V280" t="s">
        <v>2650</v>
      </c>
      <c r="W280" t="s">
        <v>2930</v>
      </c>
      <c r="X280">
        <v>19</v>
      </c>
      <c r="Y280" t="s">
        <v>4250</v>
      </c>
      <c r="Z280" t="s">
        <v>5560</v>
      </c>
      <c r="AA280">
        <v>1.355951930617084</v>
      </c>
      <c r="AB280" t="str">
        <f>HYPERLINK("Melting_Curves/meltCurve_P07355_ANXA2.pdf", "Melting_Curves/meltCurve_P07355_ANXA2.pdf")</f>
        <v>Melting_Curves/meltCurve_P07355_ANXA2.pdf</v>
      </c>
    </row>
    <row r="281" spans="1:28" x14ac:dyDescent="0.25">
      <c r="A281" t="s">
        <v>285</v>
      </c>
      <c r="B281">
        <v>1</v>
      </c>
      <c r="C281">
        <v>0.75335477941176499</v>
      </c>
      <c r="D281">
        <v>1.21286764705882</v>
      </c>
      <c r="E281">
        <v>1.6076516544117601</v>
      </c>
      <c r="F281">
        <v>1.84944852941176</v>
      </c>
      <c r="G281">
        <v>2.4402573529411802</v>
      </c>
      <c r="H281">
        <v>2.41222426470588</v>
      </c>
      <c r="I281">
        <v>2.6907169117647101</v>
      </c>
      <c r="J281">
        <v>1.97380514705882</v>
      </c>
      <c r="K281">
        <v>2.5229779411764701</v>
      </c>
      <c r="L281">
        <v>11513.766546758699</v>
      </c>
      <c r="M281">
        <v>250</v>
      </c>
      <c r="O281">
        <v>46.052118859087798</v>
      </c>
      <c r="P281">
        <v>0.67857898261215099</v>
      </c>
      <c r="Q281">
        <v>1.5</v>
      </c>
      <c r="R281">
        <v>-8.7571535509740395E-2</v>
      </c>
      <c r="S281" t="s">
        <v>1607</v>
      </c>
      <c r="T281" t="s">
        <v>2650</v>
      </c>
      <c r="U281" t="s">
        <v>2650</v>
      </c>
      <c r="V281" t="s">
        <v>2650</v>
      </c>
      <c r="W281" t="s">
        <v>2931</v>
      </c>
      <c r="X281">
        <v>4</v>
      </c>
      <c r="Y281" t="s">
        <v>4251</v>
      </c>
      <c r="Z281" t="s">
        <v>5561</v>
      </c>
      <c r="AA281">
        <v>1.399041817253895</v>
      </c>
      <c r="AB281" t="str">
        <f>HYPERLINK("Melting_Curves/meltCurve_P07357_C8A.pdf", "Melting_Curves/meltCurve_P07357_C8A.pdf")</f>
        <v>Melting_Curves/meltCurve_P07357_C8A.pdf</v>
      </c>
    </row>
    <row r="282" spans="1:28" x14ac:dyDescent="0.25">
      <c r="A282" t="s">
        <v>286</v>
      </c>
      <c r="B282">
        <v>1</v>
      </c>
      <c r="C282">
        <v>0.95423135600825604</v>
      </c>
      <c r="D282">
        <v>1.3900206407610201</v>
      </c>
      <c r="E282">
        <v>1.8421430494480799</v>
      </c>
      <c r="F282">
        <v>1.8191689850130099</v>
      </c>
      <c r="G282">
        <v>2.31894462891501</v>
      </c>
      <c r="H282">
        <v>2.3212779323341999</v>
      </c>
      <c r="I282">
        <v>2.7129139370008102</v>
      </c>
      <c r="J282">
        <v>1.90379610517814</v>
      </c>
      <c r="K282">
        <v>2.5415058781297701</v>
      </c>
      <c r="L282">
        <v>11441.768287814601</v>
      </c>
      <c r="M282">
        <v>250</v>
      </c>
      <c r="O282">
        <v>45.764144347957597</v>
      </c>
      <c r="P282">
        <v>0.68284899613418504</v>
      </c>
      <c r="Q282">
        <v>1.5</v>
      </c>
      <c r="R282">
        <v>-0.26183449084400001</v>
      </c>
      <c r="S282" t="s">
        <v>1608</v>
      </c>
      <c r="T282" t="s">
        <v>2650</v>
      </c>
      <c r="U282" t="s">
        <v>2650</v>
      </c>
      <c r="V282" t="s">
        <v>2650</v>
      </c>
      <c r="W282" t="s">
        <v>2932</v>
      </c>
      <c r="X282">
        <v>3</v>
      </c>
      <c r="Y282" t="s">
        <v>4252</v>
      </c>
      <c r="Z282" t="s">
        <v>5562</v>
      </c>
      <c r="AA282">
        <v>1.4038419538951461</v>
      </c>
      <c r="AB282" t="str">
        <f>HYPERLINK("Melting_Curves/meltCurve_P07360_C8G.pdf", "Melting_Curves/meltCurve_P07360_C8G.pdf")</f>
        <v>Melting_Curves/meltCurve_P07360_C8G.pdf</v>
      </c>
    </row>
    <row r="283" spans="1:28" x14ac:dyDescent="0.25">
      <c r="A283" t="s">
        <v>287</v>
      </c>
      <c r="B283">
        <v>1</v>
      </c>
      <c r="C283">
        <v>0.798495286439449</v>
      </c>
      <c r="D283">
        <v>1.35795866569978</v>
      </c>
      <c r="E283">
        <v>1.49927483683829</v>
      </c>
      <c r="F283">
        <v>1.39204133430022</v>
      </c>
      <c r="G283">
        <v>1.76912617839014</v>
      </c>
      <c r="H283">
        <v>2.28544234952864</v>
      </c>
      <c r="I283">
        <v>3.1483865119651901</v>
      </c>
      <c r="J283">
        <v>2.1443074691805699</v>
      </c>
      <c r="K283">
        <v>3.0092458303118201</v>
      </c>
      <c r="L283">
        <v>11457.4822451788</v>
      </c>
      <c r="M283">
        <v>250</v>
      </c>
      <c r="O283">
        <v>45.826996107852302</v>
      </c>
      <c r="P283">
        <v>0.68191246751628098</v>
      </c>
      <c r="Q283">
        <v>1.5</v>
      </c>
      <c r="R283">
        <v>-7.6512365626966797E-2</v>
      </c>
      <c r="S283" t="s">
        <v>1609</v>
      </c>
      <c r="T283" t="s">
        <v>2650</v>
      </c>
      <c r="U283" t="s">
        <v>2650</v>
      </c>
      <c r="V283" t="s">
        <v>2650</v>
      </c>
      <c r="W283" t="s">
        <v>2933</v>
      </c>
      <c r="X283">
        <v>3</v>
      </c>
      <c r="Y283" t="s">
        <v>4253</v>
      </c>
      <c r="Z283" t="s">
        <v>5563</v>
      </c>
      <c r="AA283">
        <v>1.402794301582035</v>
      </c>
      <c r="AB283" t="str">
        <f>HYPERLINK("Melting_Curves/meltCurve_P07384_CAPN1.pdf", "Melting_Curves/meltCurve_P07384_CAPN1.pdf")</f>
        <v>Melting_Curves/meltCurve_P07384_CAPN1.pdf</v>
      </c>
    </row>
    <row r="284" spans="1:28" x14ac:dyDescent="0.25">
      <c r="A284" t="s">
        <v>288</v>
      </c>
      <c r="B284">
        <v>1</v>
      </c>
      <c r="C284">
        <v>0.67247402567941605</v>
      </c>
      <c r="D284">
        <v>0.96594982078853098</v>
      </c>
      <c r="E284">
        <v>1.1388775463908201</v>
      </c>
      <c r="F284">
        <v>0.89707817249671096</v>
      </c>
      <c r="G284">
        <v>0.79533596479288604</v>
      </c>
      <c r="H284">
        <v>0.99659725057846704</v>
      </c>
      <c r="I284">
        <v>1.1677101764892699</v>
      </c>
      <c r="J284">
        <v>0.76119504559684203</v>
      </c>
      <c r="K284">
        <v>0.65727507826323694</v>
      </c>
      <c r="L284">
        <v>15000</v>
      </c>
      <c r="M284">
        <v>224.711593498827</v>
      </c>
      <c r="O284">
        <v>66.746942760057493</v>
      </c>
      <c r="P284">
        <v>-0.28848529779608101</v>
      </c>
      <c r="Q284">
        <v>0.65724044061355902</v>
      </c>
      <c r="R284">
        <v>0.28904313583503899</v>
      </c>
      <c r="S284" t="s">
        <v>1610</v>
      </c>
      <c r="T284" t="s">
        <v>2650</v>
      </c>
      <c r="U284" t="s">
        <v>2650</v>
      </c>
      <c r="V284" t="s">
        <v>2650</v>
      </c>
      <c r="W284" t="s">
        <v>2934</v>
      </c>
      <c r="X284">
        <v>2</v>
      </c>
      <c r="Y284" t="s">
        <v>4254</v>
      </c>
      <c r="Z284" t="s">
        <v>5564</v>
      </c>
      <c r="AA284">
        <v>0.96294278527428501</v>
      </c>
      <c r="AB284" t="str">
        <f>HYPERLINK("Melting_Curves/meltCurve_P07437_TUBB.pdf", "Melting_Curves/meltCurve_P07437_TUBB.pdf")</f>
        <v>Melting_Curves/meltCurve_P07437_TUBB.pdf</v>
      </c>
    </row>
    <row r="285" spans="1:28" x14ac:dyDescent="0.25">
      <c r="A285" t="s">
        <v>289</v>
      </c>
      <c r="B285">
        <v>1</v>
      </c>
      <c r="C285">
        <v>0.86968480288324701</v>
      </c>
      <c r="D285">
        <v>1.2137143941070501</v>
      </c>
      <c r="E285">
        <v>1.37697195788941</v>
      </c>
      <c r="F285">
        <v>1.53393822515886</v>
      </c>
      <c r="G285">
        <v>1.98384496222061</v>
      </c>
      <c r="H285">
        <v>1.55821820366097</v>
      </c>
      <c r="I285">
        <v>1.7091460908602301</v>
      </c>
      <c r="J285">
        <v>1.3840852328412001</v>
      </c>
      <c r="K285">
        <v>1.77939363282855</v>
      </c>
      <c r="L285">
        <v>1770.5430728756501</v>
      </c>
      <c r="M285">
        <v>37.838822057712598</v>
      </c>
      <c r="O285">
        <v>46.661589915069598</v>
      </c>
      <c r="P285">
        <v>0.101365279117604</v>
      </c>
      <c r="Q285">
        <v>1.5</v>
      </c>
      <c r="R285">
        <v>0.62635142739175997</v>
      </c>
      <c r="S285" t="s">
        <v>1611</v>
      </c>
      <c r="T285" t="s">
        <v>2650</v>
      </c>
      <c r="U285" t="s">
        <v>2650</v>
      </c>
      <c r="V285" t="s">
        <v>2650</v>
      </c>
      <c r="W285" t="s">
        <v>2935</v>
      </c>
      <c r="X285">
        <v>2</v>
      </c>
      <c r="Y285" t="s">
        <v>4255</v>
      </c>
      <c r="Z285" t="s">
        <v>5565</v>
      </c>
      <c r="AA285">
        <v>1.3849720881595471</v>
      </c>
      <c r="AB285" t="str">
        <f>HYPERLINK("Melting_Curves/meltCurve_P07478_PRSS2.pdf", "Melting_Curves/meltCurve_P07478_PRSS2.pdf")</f>
        <v>Melting_Curves/meltCurve_P07478_PRSS2.pdf</v>
      </c>
    </row>
    <row r="286" spans="1:28" x14ac:dyDescent="0.25">
      <c r="A286" t="s">
        <v>290</v>
      </c>
      <c r="B286">
        <v>1</v>
      </c>
      <c r="C286">
        <v>0.76573438751697998</v>
      </c>
      <c r="D286">
        <v>1.0578291711655201</v>
      </c>
      <c r="E286">
        <v>1.19385136939384</v>
      </c>
      <c r="F286">
        <v>1.0135255941393</v>
      </c>
      <c r="G286">
        <v>1.02497300686148</v>
      </c>
      <c r="H286">
        <v>0.93477528937805499</v>
      </c>
      <c r="I286">
        <v>1.03806903277489</v>
      </c>
      <c r="J286">
        <v>0.75024671148108202</v>
      </c>
      <c r="K286">
        <v>0.909976431797337</v>
      </c>
      <c r="L286">
        <v>15000</v>
      </c>
      <c r="M286">
        <v>229.48937158150599</v>
      </c>
      <c r="O286">
        <v>65.357541447495706</v>
      </c>
      <c r="P286">
        <v>-0.149145866221221</v>
      </c>
      <c r="Q286">
        <v>0.83009571394230397</v>
      </c>
      <c r="R286">
        <v>0.29335811749465701</v>
      </c>
      <c r="S286" t="s">
        <v>1612</v>
      </c>
      <c r="T286" t="s">
        <v>2650</v>
      </c>
      <c r="U286" t="s">
        <v>2650</v>
      </c>
      <c r="V286" t="s">
        <v>2650</v>
      </c>
      <c r="W286" t="s">
        <v>2936</v>
      </c>
      <c r="X286">
        <v>4</v>
      </c>
      <c r="Y286" t="s">
        <v>4256</v>
      </c>
      <c r="Z286" t="s">
        <v>5566</v>
      </c>
      <c r="AA286">
        <v>0.9737587822767072</v>
      </c>
      <c r="AB286" t="str">
        <f>HYPERLINK("Melting_Curves/meltCurve_P07498_CSN3.pdf", "Melting_Curves/meltCurve_P07498_CSN3.pdf")</f>
        <v>Melting_Curves/meltCurve_P07498_CSN3.pdf</v>
      </c>
    </row>
    <row r="287" spans="1:28" x14ac:dyDescent="0.25">
      <c r="A287" t="s">
        <v>291</v>
      </c>
      <c r="B287">
        <v>1</v>
      </c>
      <c r="C287">
        <v>0.86230290181529101</v>
      </c>
      <c r="D287">
        <v>1.1387306214389801</v>
      </c>
      <c r="E287">
        <v>1.14228170133828</v>
      </c>
      <c r="F287">
        <v>0.86853054193719403</v>
      </c>
      <c r="G287">
        <v>1.2671790115277599</v>
      </c>
      <c r="H287">
        <v>1.13260898370213</v>
      </c>
      <c r="I287">
        <v>1.5651252153173401</v>
      </c>
      <c r="J287">
        <v>1.1442427454617701</v>
      </c>
      <c r="K287">
        <v>1.2862329402411601</v>
      </c>
      <c r="L287">
        <v>14085.366649072899</v>
      </c>
      <c r="M287">
        <v>250</v>
      </c>
      <c r="O287">
        <v>56.337861439519003</v>
      </c>
      <c r="P287">
        <v>0.312902993689333</v>
      </c>
      <c r="Q287">
        <v>1.28205256609021</v>
      </c>
      <c r="R287">
        <v>0.49274715490830701</v>
      </c>
      <c r="S287" t="s">
        <v>1613</v>
      </c>
      <c r="T287" t="s">
        <v>2650</v>
      </c>
      <c r="U287" t="s">
        <v>2650</v>
      </c>
      <c r="V287" t="s">
        <v>2650</v>
      </c>
      <c r="W287" t="s">
        <v>2937</v>
      </c>
      <c r="X287">
        <v>2</v>
      </c>
      <c r="Y287" t="s">
        <v>4257</v>
      </c>
      <c r="Z287" t="s">
        <v>5567</v>
      </c>
      <c r="AA287">
        <v>1.1283862576125541</v>
      </c>
      <c r="AB287" t="str">
        <f>HYPERLINK("Melting_Curves/meltCurve_P07585_DCN.pdf", "Melting_Curves/meltCurve_P07585_DCN.pdf")</f>
        <v>Melting_Curves/meltCurve_P07585_DCN.pdf</v>
      </c>
    </row>
    <row r="288" spans="1:28" x14ac:dyDescent="0.25">
      <c r="A288" t="s">
        <v>292</v>
      </c>
      <c r="B288">
        <v>1</v>
      </c>
      <c r="C288">
        <v>0.79605331775798405</v>
      </c>
      <c r="D288">
        <v>1.0815828448653499</v>
      </c>
      <c r="E288">
        <v>1.2446859550678999</v>
      </c>
      <c r="F288">
        <v>0.92722000876113397</v>
      </c>
      <c r="G288">
        <v>0.97325768163708004</v>
      </c>
      <c r="H288">
        <v>0.81712175890193794</v>
      </c>
      <c r="I288">
        <v>0.97824318404639199</v>
      </c>
      <c r="J288">
        <v>0.64350528797012896</v>
      </c>
      <c r="K288">
        <v>0.87338075470910903</v>
      </c>
      <c r="L288">
        <v>1469.7603190913601</v>
      </c>
      <c r="M288">
        <v>24.501763522010499</v>
      </c>
      <c r="O288">
        <v>59.5905910234667</v>
      </c>
      <c r="P288">
        <v>-2.0919553662167401E-2</v>
      </c>
      <c r="Q288">
        <v>0.79648965389842497</v>
      </c>
      <c r="R288">
        <v>0.30583464071350502</v>
      </c>
      <c r="S288" t="s">
        <v>1614</v>
      </c>
      <c r="T288" t="s">
        <v>2650</v>
      </c>
      <c r="U288" t="s">
        <v>2650</v>
      </c>
      <c r="V288" t="s">
        <v>2650</v>
      </c>
      <c r="W288" t="s">
        <v>2938</v>
      </c>
      <c r="X288">
        <v>34</v>
      </c>
      <c r="Y288" t="s">
        <v>4258</v>
      </c>
      <c r="Z288" t="s">
        <v>5568</v>
      </c>
      <c r="AA288">
        <v>0.93360664103425417</v>
      </c>
      <c r="AB288" t="str">
        <f>HYPERLINK("Melting_Curves/meltCurve_P07602_PSAP.pdf", "Melting_Curves/meltCurve_P07602_PSAP.pdf")</f>
        <v>Melting_Curves/meltCurve_P07602_PSAP.pdf</v>
      </c>
    </row>
    <row r="289" spans="1:28" x14ac:dyDescent="0.25">
      <c r="A289" t="s">
        <v>293</v>
      </c>
      <c r="B289">
        <v>1</v>
      </c>
      <c r="C289">
        <v>0.72698982645122701</v>
      </c>
      <c r="D289">
        <v>1.1774187113504899</v>
      </c>
      <c r="E289">
        <v>2.2398962696987801</v>
      </c>
      <c r="F289">
        <v>2.23666467185318</v>
      </c>
      <c r="G289">
        <v>2.81153002194295</v>
      </c>
      <c r="H289">
        <v>2.4954318771194899</v>
      </c>
      <c r="I289">
        <v>3.3024137243167799</v>
      </c>
      <c r="J289">
        <v>2.1952523439058398</v>
      </c>
      <c r="K289">
        <v>3.0494713744264899</v>
      </c>
      <c r="L289">
        <v>11527.5007603383</v>
      </c>
      <c r="M289">
        <v>250</v>
      </c>
      <c r="O289">
        <v>46.107052935824903</v>
      </c>
      <c r="P289">
        <v>0.67777050305592701</v>
      </c>
      <c r="Q289">
        <v>1.5</v>
      </c>
      <c r="R289">
        <v>-0.43019723628239598</v>
      </c>
      <c r="S289" t="s">
        <v>1615</v>
      </c>
      <c r="T289" t="s">
        <v>2650</v>
      </c>
      <c r="U289" t="s">
        <v>2650</v>
      </c>
      <c r="V289" t="s">
        <v>2650</v>
      </c>
      <c r="W289" t="s">
        <v>2939</v>
      </c>
      <c r="X289">
        <v>13</v>
      </c>
      <c r="Y289" t="s">
        <v>4259</v>
      </c>
      <c r="Z289" t="s">
        <v>5569</v>
      </c>
      <c r="AA289">
        <v>1.398126154808593</v>
      </c>
      <c r="AB289" t="str">
        <f>HYPERLINK("Melting_Curves/meltCurve_P07686_HEXB.pdf", "Melting_Curves/meltCurve_P07686_HEXB.pdf")</f>
        <v>Melting_Curves/meltCurve_P07686_HEXB.pdf</v>
      </c>
    </row>
    <row r="290" spans="1:28" x14ac:dyDescent="0.25">
      <c r="A290" t="s">
        <v>294</v>
      </c>
      <c r="B290">
        <v>1</v>
      </c>
      <c r="C290">
        <v>0.73902560102120396</v>
      </c>
      <c r="D290">
        <v>1.07595206013758</v>
      </c>
      <c r="E290">
        <v>1.2267924260690699</v>
      </c>
      <c r="F290">
        <v>0.87702999787249103</v>
      </c>
      <c r="G290">
        <v>1.00244663499043</v>
      </c>
      <c r="H290">
        <v>1.0554216013048701</v>
      </c>
      <c r="I290">
        <v>1.34582653712503</v>
      </c>
      <c r="J290">
        <v>0.92039571661584296</v>
      </c>
      <c r="K290">
        <v>1.4452875682575701</v>
      </c>
      <c r="L290">
        <v>1052.5978895660401</v>
      </c>
      <c r="M290">
        <v>15.445820486912201</v>
      </c>
      <c r="O290">
        <v>67.036098396936197</v>
      </c>
      <c r="P290">
        <v>2.8803907043772999E-2</v>
      </c>
      <c r="Q290">
        <v>1.5</v>
      </c>
      <c r="R290">
        <v>0.29703005494127899</v>
      </c>
      <c r="S290" t="s">
        <v>1616</v>
      </c>
      <c r="T290" t="s">
        <v>2650</v>
      </c>
      <c r="U290" t="s">
        <v>2650</v>
      </c>
      <c r="V290" t="s">
        <v>2650</v>
      </c>
      <c r="W290" t="s">
        <v>2940</v>
      </c>
      <c r="X290">
        <v>8</v>
      </c>
      <c r="Y290" t="s">
        <v>4260</v>
      </c>
      <c r="Z290" t="s">
        <v>5570</v>
      </c>
      <c r="AA290">
        <v>1.0614771683508819</v>
      </c>
      <c r="AB290" t="str">
        <f>HYPERLINK("Melting_Curves/meltCurve_P07711_CTSL.pdf", "Melting_Curves/meltCurve_P07711_CTSL.pdf")</f>
        <v>Melting_Curves/meltCurve_P07711_CTSL.pdf</v>
      </c>
    </row>
    <row r="291" spans="1:28" x14ac:dyDescent="0.25">
      <c r="A291" t="s">
        <v>295</v>
      </c>
      <c r="B291">
        <v>1</v>
      </c>
      <c r="C291">
        <v>0.68795007201152203</v>
      </c>
      <c r="D291">
        <v>0.98079692750840097</v>
      </c>
      <c r="E291">
        <v>1.1631575337768301</v>
      </c>
      <c r="F291">
        <v>1.14793224058707</v>
      </c>
      <c r="G291">
        <v>2.1158356765653901</v>
      </c>
      <c r="H291">
        <v>2.42281050682395</v>
      </c>
      <c r="I291">
        <v>2.6957684658116698</v>
      </c>
      <c r="J291">
        <v>1.96310266785543</v>
      </c>
      <c r="K291">
        <v>2.7363006652493</v>
      </c>
      <c r="L291">
        <v>13295.9545471531</v>
      </c>
      <c r="M291">
        <v>250</v>
      </c>
      <c r="O291">
        <v>53.180399767210297</v>
      </c>
      <c r="P291">
        <v>0.58762234421654302</v>
      </c>
      <c r="Q291">
        <v>1.5</v>
      </c>
      <c r="R291">
        <v>0.16976040355033101</v>
      </c>
      <c r="S291" t="s">
        <v>1617</v>
      </c>
      <c r="T291" t="s">
        <v>2650</v>
      </c>
      <c r="U291" t="s">
        <v>2650</v>
      </c>
      <c r="V291" t="s">
        <v>2650</v>
      </c>
      <c r="W291" t="s">
        <v>2941</v>
      </c>
      <c r="X291">
        <v>7</v>
      </c>
      <c r="Y291" t="s">
        <v>4261</v>
      </c>
      <c r="Z291" t="s">
        <v>5571</v>
      </c>
      <c r="AA291">
        <v>1.280223028469861</v>
      </c>
      <c r="AB291" t="str">
        <f>HYPERLINK("Melting_Curves/meltCurve_P07737_PFN1.pdf", "Melting_Curves/meltCurve_P07737_PFN1.pdf")</f>
        <v>Melting_Curves/meltCurve_P07737_PFN1.pdf</v>
      </c>
    </row>
    <row r="292" spans="1:28" x14ac:dyDescent="0.25">
      <c r="A292" t="s">
        <v>296</v>
      </c>
      <c r="B292">
        <v>1</v>
      </c>
      <c r="C292">
        <v>1.1445384856515901</v>
      </c>
      <c r="D292">
        <v>1.4556153999601</v>
      </c>
      <c r="E292">
        <v>1.4370066398791701</v>
      </c>
      <c r="F292">
        <v>1.3891311162406299</v>
      </c>
      <c r="G292">
        <v>1.71206292211678</v>
      </c>
      <c r="H292">
        <v>1.5999259069277001</v>
      </c>
      <c r="I292">
        <v>2.04713459291556</v>
      </c>
      <c r="J292">
        <v>1.6404776153429701</v>
      </c>
      <c r="K292">
        <v>1.83403151805306</v>
      </c>
      <c r="L292">
        <v>1979.3929273186</v>
      </c>
      <c r="M292">
        <v>45.243927904704798</v>
      </c>
      <c r="O292">
        <v>43.664139689631199</v>
      </c>
      <c r="P292">
        <v>0.12952269257406801</v>
      </c>
      <c r="Q292">
        <v>1.5</v>
      </c>
      <c r="R292">
        <v>0.42560386412870999</v>
      </c>
      <c r="S292" t="s">
        <v>1618</v>
      </c>
      <c r="T292" t="s">
        <v>2650</v>
      </c>
      <c r="U292" t="s">
        <v>2650</v>
      </c>
      <c r="V292" t="s">
        <v>2650</v>
      </c>
      <c r="W292" t="s">
        <v>2942</v>
      </c>
      <c r="X292">
        <v>2</v>
      </c>
      <c r="Y292" t="s">
        <v>4262</v>
      </c>
      <c r="Z292" t="s">
        <v>5572</v>
      </c>
      <c r="AA292">
        <v>1.4361455788312221</v>
      </c>
      <c r="AB292" t="str">
        <f>HYPERLINK("Melting_Curves/meltCurve_P07741_2_APRT.pdf", "Melting_Curves/meltCurve_P07741_2_APRT.pdf")</f>
        <v>Melting_Curves/meltCurve_P07741_2_APRT.pdf</v>
      </c>
    </row>
    <row r="293" spans="1:28" x14ac:dyDescent="0.25">
      <c r="A293" t="s">
        <v>297</v>
      </c>
      <c r="B293">
        <v>1</v>
      </c>
      <c r="C293">
        <v>0.87169972124074502</v>
      </c>
      <c r="D293">
        <v>1.8208128406810999</v>
      </c>
      <c r="E293">
        <v>2.65424974698603</v>
      </c>
      <c r="F293">
        <v>1.96338843415422</v>
      </c>
      <c r="G293">
        <v>2.0651266845404002</v>
      </c>
      <c r="H293">
        <v>1.7897409492019001</v>
      </c>
      <c r="I293">
        <v>2.2732195806182398</v>
      </c>
      <c r="J293">
        <v>1.41533353456082</v>
      </c>
      <c r="K293">
        <v>1.9909092523215099</v>
      </c>
      <c r="L293">
        <v>11080.1699622371</v>
      </c>
      <c r="M293">
        <v>250</v>
      </c>
      <c r="O293">
        <v>44.317843630410003</v>
      </c>
      <c r="P293">
        <v>0.70513358693612804</v>
      </c>
      <c r="Q293">
        <v>1.5</v>
      </c>
      <c r="R293">
        <v>-6.6134550600687E-2</v>
      </c>
      <c r="S293" t="s">
        <v>1619</v>
      </c>
      <c r="T293" t="s">
        <v>2650</v>
      </c>
      <c r="U293" t="s">
        <v>2650</v>
      </c>
      <c r="V293" t="s">
        <v>2650</v>
      </c>
      <c r="W293" t="s">
        <v>2943</v>
      </c>
      <c r="X293">
        <v>12</v>
      </c>
      <c r="Y293" t="s">
        <v>4263</v>
      </c>
      <c r="Z293" t="s">
        <v>5573</v>
      </c>
      <c r="AA293">
        <v>1.427949778132513</v>
      </c>
      <c r="AB293" t="str">
        <f>HYPERLINK("Melting_Curves/meltCurve_P07858_CTSB.pdf", "Melting_Curves/meltCurve_P07858_CTSB.pdf")</f>
        <v>Melting_Curves/meltCurve_P07858_CTSB.pdf</v>
      </c>
    </row>
    <row r="294" spans="1:28" x14ac:dyDescent="0.25">
      <c r="A294" t="s">
        <v>298</v>
      </c>
      <c r="B294">
        <v>1</v>
      </c>
      <c r="C294">
        <v>0.81116996561657795</v>
      </c>
      <c r="D294">
        <v>1.3042932812935599</v>
      </c>
      <c r="E294">
        <v>1.65584053526624</v>
      </c>
      <c r="F294">
        <v>1.4597156398104301</v>
      </c>
      <c r="G294">
        <v>1.63883468079175</v>
      </c>
      <c r="H294">
        <v>1.5295511569556699</v>
      </c>
      <c r="I294">
        <v>1.91320509246353</v>
      </c>
      <c r="J294">
        <v>1.3480159836446399</v>
      </c>
      <c r="K294">
        <v>1.79746306105381</v>
      </c>
      <c r="L294">
        <v>11479.6967676528</v>
      </c>
      <c r="M294">
        <v>250</v>
      </c>
      <c r="O294">
        <v>45.9158491755285</v>
      </c>
      <c r="P294">
        <v>0.68059288911960003</v>
      </c>
      <c r="Q294">
        <v>1.5</v>
      </c>
      <c r="R294">
        <v>0.65715209198971603</v>
      </c>
      <c r="S294" t="s">
        <v>1620</v>
      </c>
      <c r="T294" t="s">
        <v>2650</v>
      </c>
      <c r="U294" t="s">
        <v>2650</v>
      </c>
      <c r="V294" t="s">
        <v>2650</v>
      </c>
      <c r="W294" t="s">
        <v>2944</v>
      </c>
      <c r="X294">
        <v>14</v>
      </c>
      <c r="Y294" t="s">
        <v>4264</v>
      </c>
      <c r="Z294" t="s">
        <v>5574</v>
      </c>
      <c r="AA294">
        <v>1.4013132554448131</v>
      </c>
      <c r="AB294" t="str">
        <f>HYPERLINK("Melting_Curves/meltCurve_P07900_HSP90AA1.pdf", "Melting_Curves/meltCurve_P07900_HSP90AA1.pdf")</f>
        <v>Melting_Curves/meltCurve_P07900_HSP90AA1.pdf</v>
      </c>
    </row>
    <row r="295" spans="1:28" x14ac:dyDescent="0.25">
      <c r="A295" t="s">
        <v>299</v>
      </c>
      <c r="B295">
        <v>1</v>
      </c>
      <c r="C295">
        <v>0.83006902502156998</v>
      </c>
      <c r="D295">
        <v>1.20146678170837</v>
      </c>
      <c r="E295">
        <v>1.4363244176013801</v>
      </c>
      <c r="F295">
        <v>1.27351164797239</v>
      </c>
      <c r="G295">
        <v>1.50664365832614</v>
      </c>
      <c r="H295">
        <v>1.3182053494391699</v>
      </c>
      <c r="I295">
        <v>1.6023295944780001</v>
      </c>
      <c r="J295">
        <v>1.13339085418464</v>
      </c>
      <c r="K295">
        <v>1.4058671268334799</v>
      </c>
      <c r="L295">
        <v>11495.0360090209</v>
      </c>
      <c r="M295">
        <v>250</v>
      </c>
      <c r="O295">
        <v>45.9771935373589</v>
      </c>
      <c r="P295">
        <v>0.51972044238331105</v>
      </c>
      <c r="Q295">
        <v>1.3823246647166101</v>
      </c>
      <c r="R295">
        <v>0.65499212802314799</v>
      </c>
      <c r="S295" t="s">
        <v>1621</v>
      </c>
      <c r="T295" t="s">
        <v>2650</v>
      </c>
      <c r="U295" t="s">
        <v>2650</v>
      </c>
      <c r="V295" t="s">
        <v>2650</v>
      </c>
      <c r="W295" t="s">
        <v>2945</v>
      </c>
      <c r="X295">
        <v>3</v>
      </c>
      <c r="Y295" t="s">
        <v>4265</v>
      </c>
      <c r="Z295" t="s">
        <v>5575</v>
      </c>
      <c r="AA295">
        <v>1.3060819277912159</v>
      </c>
      <c r="AB295" t="str">
        <f>HYPERLINK("Melting_Curves/meltCurve_P07949_2_RET.pdf", "Melting_Curves/meltCurve_P07949_2_RET.pdf")</f>
        <v>Melting_Curves/meltCurve_P07949_2_RET.pdf</v>
      </c>
    </row>
    <row r="296" spans="1:28" x14ac:dyDescent="0.25">
      <c r="A296" t="s">
        <v>300</v>
      </c>
      <c r="B296">
        <v>1</v>
      </c>
      <c r="C296">
        <v>0.71953484385268196</v>
      </c>
      <c r="D296">
        <v>1.1326895054144399</v>
      </c>
      <c r="E296">
        <v>1.31463756107317</v>
      </c>
      <c r="F296">
        <v>0.96559901711477503</v>
      </c>
      <c r="G296">
        <v>0.99931426612188901</v>
      </c>
      <c r="H296">
        <v>1.0097431355181601</v>
      </c>
      <c r="I296">
        <v>1.1026600760021701</v>
      </c>
      <c r="J296">
        <v>0.68624817851938602</v>
      </c>
      <c r="K296">
        <v>1.00371439183977</v>
      </c>
      <c r="L296">
        <v>15000</v>
      </c>
      <c r="M296">
        <v>229.34607161712901</v>
      </c>
      <c r="O296">
        <v>65.398379851980394</v>
      </c>
      <c r="P296">
        <v>-0.13560425772811599</v>
      </c>
      <c r="Q296">
        <v>0.84532898318014305</v>
      </c>
      <c r="R296">
        <v>0.154742829558766</v>
      </c>
      <c r="S296" t="s">
        <v>1622</v>
      </c>
      <c r="T296" t="s">
        <v>2650</v>
      </c>
      <c r="U296" t="s">
        <v>2650</v>
      </c>
      <c r="V296" t="s">
        <v>2650</v>
      </c>
      <c r="W296" t="s">
        <v>2946</v>
      </c>
      <c r="X296">
        <v>3</v>
      </c>
      <c r="Y296" t="s">
        <v>4266</v>
      </c>
      <c r="Z296" t="s">
        <v>5576</v>
      </c>
      <c r="AA296">
        <v>0.97632211309182182</v>
      </c>
      <c r="AB296" t="str">
        <f>HYPERLINK("Melting_Curves/meltCurve_P07998_RNASE1.pdf", "Melting_Curves/meltCurve_P07998_RNASE1.pdf")</f>
        <v>Melting_Curves/meltCurve_P07998_RNASE1.pdf</v>
      </c>
    </row>
    <row r="297" spans="1:28" x14ac:dyDescent="0.25">
      <c r="A297" t="s">
        <v>301</v>
      </c>
      <c r="B297">
        <v>1</v>
      </c>
      <c r="C297">
        <v>0.748679358868237</v>
      </c>
      <c r="D297">
        <v>1.0571901572729301</v>
      </c>
      <c r="E297">
        <v>1.1678079614718899</v>
      </c>
      <c r="F297">
        <v>0.86364662502821898</v>
      </c>
      <c r="G297">
        <v>1.05101964030401</v>
      </c>
      <c r="H297">
        <v>0.98457370757769602</v>
      </c>
      <c r="I297">
        <v>1.00895477462563</v>
      </c>
      <c r="J297">
        <v>0.688268492738355</v>
      </c>
      <c r="K297">
        <v>0.91037700353675999</v>
      </c>
      <c r="L297">
        <v>15000</v>
      </c>
      <c r="M297">
        <v>230.25010200326801</v>
      </c>
      <c r="O297">
        <v>65.141636759844502</v>
      </c>
      <c r="P297">
        <v>-0.17731088676739901</v>
      </c>
      <c r="Q297">
        <v>0.79934304193185002</v>
      </c>
      <c r="R297">
        <v>0.2748587321896</v>
      </c>
      <c r="S297" t="s">
        <v>1623</v>
      </c>
      <c r="T297" t="s">
        <v>2650</v>
      </c>
      <c r="U297" t="s">
        <v>2650</v>
      </c>
      <c r="V297" t="s">
        <v>2650</v>
      </c>
      <c r="W297" t="s">
        <v>2947</v>
      </c>
      <c r="X297">
        <v>5</v>
      </c>
      <c r="Y297" t="s">
        <v>4267</v>
      </c>
      <c r="Z297" t="s">
        <v>5577</v>
      </c>
      <c r="AA297">
        <v>0.9675644357878197</v>
      </c>
      <c r="AB297" t="str">
        <f>HYPERLINK("Melting_Curves/meltCurve_P08118_MSMB.pdf", "Melting_Curves/meltCurve_P08118_MSMB.pdf")</f>
        <v>Melting_Curves/meltCurve_P08118_MSMB.pdf</v>
      </c>
    </row>
    <row r="298" spans="1:28" x14ac:dyDescent="0.25">
      <c r="A298" t="s">
        <v>302</v>
      </c>
      <c r="B298">
        <v>1</v>
      </c>
      <c r="C298">
        <v>0.74802584350322998</v>
      </c>
      <c r="D298">
        <v>1.11530178364349</v>
      </c>
      <c r="E298">
        <v>1.35253189022033</v>
      </c>
      <c r="F298">
        <v>1.06648627754155</v>
      </c>
      <c r="G298">
        <v>1.29339002705837</v>
      </c>
      <c r="H298">
        <v>1.6021867579656499</v>
      </c>
      <c r="I298">
        <v>2.7722679330719502</v>
      </c>
      <c r="J298">
        <v>2.1187254956099202</v>
      </c>
      <c r="K298">
        <v>3.0742724612071299</v>
      </c>
      <c r="L298">
        <v>14230.0117959076</v>
      </c>
      <c r="M298">
        <v>250</v>
      </c>
      <c r="O298">
        <v>56.916408122901402</v>
      </c>
      <c r="P298">
        <v>0.54905084415577898</v>
      </c>
      <c r="Q298">
        <v>1.5</v>
      </c>
      <c r="R298">
        <v>0.15777409248796101</v>
      </c>
      <c r="S298" t="s">
        <v>1624</v>
      </c>
      <c r="T298" t="s">
        <v>2650</v>
      </c>
      <c r="U298" t="s">
        <v>2650</v>
      </c>
      <c r="V298" t="s">
        <v>2650</v>
      </c>
      <c r="W298" t="s">
        <v>2948</v>
      </c>
      <c r="X298">
        <v>10</v>
      </c>
      <c r="Y298" t="s">
        <v>4268</v>
      </c>
      <c r="Z298" t="s">
        <v>5578</v>
      </c>
      <c r="AA298">
        <v>1.2179492667076921</v>
      </c>
      <c r="AB298" t="str">
        <f>HYPERLINK("Melting_Curves/meltCurve_P08133_2_ANXA6.pdf", "Melting_Curves/meltCurve_P08133_2_ANXA6.pdf")</f>
        <v>Melting_Curves/meltCurve_P08133_2_ANXA6.pdf</v>
      </c>
    </row>
    <row r="299" spans="1:28" x14ac:dyDescent="0.25">
      <c r="A299" t="s">
        <v>303</v>
      </c>
      <c r="B299">
        <v>1</v>
      </c>
      <c r="C299">
        <v>0.811655104063429</v>
      </c>
      <c r="D299">
        <v>1.1373042616451901</v>
      </c>
      <c r="E299">
        <v>1.29554013875124</v>
      </c>
      <c r="F299">
        <v>1.0777799801783901</v>
      </c>
      <c r="G299">
        <v>1.1635282457879099</v>
      </c>
      <c r="H299">
        <v>1.0882854311199199</v>
      </c>
      <c r="I299">
        <v>1.4450743310208101</v>
      </c>
      <c r="J299">
        <v>0.91381565906838502</v>
      </c>
      <c r="K299">
        <v>1.20414271555996</v>
      </c>
      <c r="L299">
        <v>11433.622257822</v>
      </c>
      <c r="M299">
        <v>250</v>
      </c>
      <c r="O299">
        <v>45.731547613872102</v>
      </c>
      <c r="P299">
        <v>0.231976110982791</v>
      </c>
      <c r="Q299">
        <v>1.16973807972176</v>
      </c>
      <c r="R299">
        <v>0.303934806890576</v>
      </c>
      <c r="S299" t="s">
        <v>1625</v>
      </c>
      <c r="T299" t="s">
        <v>2650</v>
      </c>
      <c r="U299" t="s">
        <v>2650</v>
      </c>
      <c r="V299" t="s">
        <v>2650</v>
      </c>
      <c r="W299" t="s">
        <v>2949</v>
      </c>
      <c r="X299">
        <v>3</v>
      </c>
      <c r="Y299" t="s">
        <v>4269</v>
      </c>
      <c r="Z299" t="s">
        <v>5579</v>
      </c>
      <c r="AA299">
        <v>1.137279084102006</v>
      </c>
      <c r="AB299" t="str">
        <f>HYPERLINK("Melting_Curves/meltCurve_P08134_RHOC.pdf", "Melting_Curves/meltCurve_P08134_RHOC.pdf")</f>
        <v>Melting_Curves/meltCurve_P08134_RHOC.pdf</v>
      </c>
    </row>
    <row r="300" spans="1:28" x14ac:dyDescent="0.25">
      <c r="A300" t="s">
        <v>304</v>
      </c>
      <c r="B300">
        <v>1</v>
      </c>
      <c r="C300">
        <v>0.80897019769843603</v>
      </c>
      <c r="D300">
        <v>1.16990262614341</v>
      </c>
      <c r="E300">
        <v>1.3437002065506001</v>
      </c>
      <c r="F300">
        <v>0.99120684567719097</v>
      </c>
      <c r="G300">
        <v>1.06349955739156</v>
      </c>
      <c r="H300">
        <v>0.96447329595750997</v>
      </c>
      <c r="I300">
        <v>1.14700501622898</v>
      </c>
      <c r="J300">
        <v>0.72776630274417198</v>
      </c>
      <c r="K300">
        <v>1.0465033933313701</v>
      </c>
      <c r="L300">
        <v>2185.71127327982</v>
      </c>
      <c r="M300">
        <v>33.477088679963302</v>
      </c>
      <c r="O300">
        <v>65.058113180782797</v>
      </c>
      <c r="P300">
        <v>-8.9954827987586902E-3</v>
      </c>
      <c r="Q300">
        <v>0.93007436428156198</v>
      </c>
      <c r="R300">
        <v>1.1632928969485001E-3</v>
      </c>
      <c r="S300" t="s">
        <v>1626</v>
      </c>
      <c r="T300" t="s">
        <v>2650</v>
      </c>
      <c r="U300" t="s">
        <v>2650</v>
      </c>
      <c r="V300" t="s">
        <v>2650</v>
      </c>
      <c r="W300" t="s">
        <v>2950</v>
      </c>
      <c r="X300">
        <v>5</v>
      </c>
      <c r="Y300" t="s">
        <v>4270</v>
      </c>
      <c r="Z300" t="s">
        <v>5580</v>
      </c>
      <c r="AA300">
        <v>0.98891306932357759</v>
      </c>
      <c r="AB300" t="str">
        <f>HYPERLINK("Melting_Curves/meltCurve_P08174_4_CD55.pdf", "Melting_Curves/meltCurve_P08174_4_CD55.pdf")</f>
        <v>Melting_Curves/meltCurve_P08174_4_CD55.pdf</v>
      </c>
    </row>
    <row r="301" spans="1:28" x14ac:dyDescent="0.25">
      <c r="A301" t="s">
        <v>305</v>
      </c>
      <c r="B301">
        <v>1</v>
      </c>
      <c r="C301">
        <v>0.90782155957874799</v>
      </c>
      <c r="D301">
        <v>1.3978523251686199</v>
      </c>
      <c r="E301">
        <v>1.8689800023665799</v>
      </c>
      <c r="F301">
        <v>1.7326056088036901</v>
      </c>
      <c r="G301">
        <v>1.79526091586794</v>
      </c>
      <c r="H301">
        <v>1.57789019051</v>
      </c>
      <c r="I301">
        <v>2.01774937877174</v>
      </c>
      <c r="J301">
        <v>1.3796000473316801</v>
      </c>
      <c r="K301">
        <v>1.84782865933026</v>
      </c>
      <c r="L301">
        <v>11437.455598918101</v>
      </c>
      <c r="M301">
        <v>250</v>
      </c>
      <c r="O301">
        <v>45.746894731951301</v>
      </c>
      <c r="P301">
        <v>0.68310647606563801</v>
      </c>
      <c r="Q301">
        <v>1.5</v>
      </c>
      <c r="R301">
        <v>0.45255850879918602</v>
      </c>
      <c r="S301" t="s">
        <v>1627</v>
      </c>
      <c r="T301" t="s">
        <v>2650</v>
      </c>
      <c r="U301" t="s">
        <v>2650</v>
      </c>
      <c r="V301" t="s">
        <v>2650</v>
      </c>
      <c r="W301" t="s">
        <v>2951</v>
      </c>
      <c r="X301">
        <v>3</v>
      </c>
      <c r="Y301" t="s">
        <v>4271</v>
      </c>
      <c r="Z301" t="s">
        <v>5581</v>
      </c>
      <c r="AA301">
        <v>1.40412948162565</v>
      </c>
      <c r="AB301" t="str">
        <f>HYPERLINK("Melting_Curves/meltCurve_P08185_SERPINA6.pdf", "Melting_Curves/meltCurve_P08185_SERPINA6.pdf")</f>
        <v>Melting_Curves/meltCurve_P08185_SERPINA6.pdf</v>
      </c>
    </row>
    <row r="302" spans="1:28" x14ac:dyDescent="0.25">
      <c r="A302" t="s">
        <v>306</v>
      </c>
      <c r="B302">
        <v>1</v>
      </c>
      <c r="C302">
        <v>0.87980010520778495</v>
      </c>
      <c r="D302">
        <v>1.1234383219358199</v>
      </c>
      <c r="E302">
        <v>1.48640518148343</v>
      </c>
      <c r="F302">
        <v>1.2822856391373001</v>
      </c>
      <c r="G302">
        <v>1.4465084166228299</v>
      </c>
      <c r="H302">
        <v>1.33294976328248</v>
      </c>
      <c r="I302">
        <v>1.83193056286165</v>
      </c>
      <c r="J302">
        <v>1.1759928984744901</v>
      </c>
      <c r="K302">
        <v>1.5564669910573401</v>
      </c>
      <c r="L302">
        <v>11543.992286814</v>
      </c>
      <c r="M302">
        <v>250</v>
      </c>
      <c r="O302">
        <v>46.173028405417298</v>
      </c>
      <c r="P302">
        <v>0.60187820358208399</v>
      </c>
      <c r="Q302">
        <v>1.4446484935053501</v>
      </c>
      <c r="R302">
        <v>0.59658317479078904</v>
      </c>
      <c r="S302" t="s">
        <v>1628</v>
      </c>
      <c r="T302" t="s">
        <v>2650</v>
      </c>
      <c r="U302" t="s">
        <v>2650</v>
      </c>
      <c r="V302" t="s">
        <v>2650</v>
      </c>
      <c r="W302" t="s">
        <v>2952</v>
      </c>
      <c r="X302">
        <v>4</v>
      </c>
      <c r="Y302" t="s">
        <v>4272</v>
      </c>
      <c r="Z302" t="s">
        <v>5582</v>
      </c>
      <c r="AA302">
        <v>1.3530746141243051</v>
      </c>
      <c r="AB302" t="str">
        <f>HYPERLINK("Melting_Curves/meltCurve_P08195_2_SLC3A2.pdf", "Melting_Curves/meltCurve_P08195_2_SLC3A2.pdf")</f>
        <v>Melting_Curves/meltCurve_P08195_2_SLC3A2.pdf</v>
      </c>
    </row>
    <row r="303" spans="1:28" x14ac:dyDescent="0.25">
      <c r="A303" t="s">
        <v>307</v>
      </c>
      <c r="B303">
        <v>1</v>
      </c>
      <c r="C303">
        <v>0.78523530116153795</v>
      </c>
      <c r="D303">
        <v>1.1482457190755599</v>
      </c>
      <c r="E303">
        <v>1.3696563285834</v>
      </c>
      <c r="F303">
        <v>1.1206442342234499</v>
      </c>
      <c r="G303">
        <v>1.32127888875584</v>
      </c>
      <c r="H303">
        <v>1.3542090767572701</v>
      </c>
      <c r="I303">
        <v>1.7087175188600201</v>
      </c>
      <c r="J303">
        <v>1.15950185606514</v>
      </c>
      <c r="K303">
        <v>1.5435277212309899</v>
      </c>
      <c r="L303">
        <v>662.85811276834102</v>
      </c>
      <c r="M303">
        <v>12.8581623359762</v>
      </c>
      <c r="O303">
        <v>50.352386724838901</v>
      </c>
      <c r="P303">
        <v>2.94121179123688E-2</v>
      </c>
      <c r="Q303">
        <v>1.4606248705376501</v>
      </c>
      <c r="R303">
        <v>0.54221959407460696</v>
      </c>
      <c r="S303" t="s">
        <v>1629</v>
      </c>
      <c r="T303" t="s">
        <v>2650</v>
      </c>
      <c r="U303" t="s">
        <v>2650</v>
      </c>
      <c r="V303" t="s">
        <v>2650</v>
      </c>
      <c r="W303" t="s">
        <v>2953</v>
      </c>
      <c r="X303">
        <v>14</v>
      </c>
      <c r="Y303" t="s">
        <v>4273</v>
      </c>
      <c r="Z303" t="s">
        <v>5583</v>
      </c>
      <c r="AA303">
        <v>1.270072576871162</v>
      </c>
      <c r="AB303" t="str">
        <f>HYPERLINK("Melting_Curves/meltCurve_P08238_HSP90AB1.pdf", "Melting_Curves/meltCurve_P08238_HSP90AB1.pdf")</f>
        <v>Melting_Curves/meltCurve_P08238_HSP90AB1.pdf</v>
      </c>
    </row>
    <row r="304" spans="1:28" x14ac:dyDescent="0.25">
      <c r="A304" t="s">
        <v>308</v>
      </c>
      <c r="B304">
        <v>1</v>
      </c>
      <c r="C304">
        <v>1.0694936501880401</v>
      </c>
      <c r="D304">
        <v>1.0304681964353799</v>
      </c>
      <c r="E304">
        <v>1.0494631274867801</v>
      </c>
      <c r="F304">
        <v>0.914972475064043</v>
      </c>
      <c r="G304">
        <v>1.56864882542105</v>
      </c>
      <c r="H304">
        <v>0.94482749223306295</v>
      </c>
      <c r="I304">
        <v>1.04763721589361</v>
      </c>
      <c r="J304">
        <v>1.2833024472665799</v>
      </c>
      <c r="K304">
        <v>1.2969831580094799</v>
      </c>
      <c r="L304">
        <v>307.67637001650201</v>
      </c>
      <c r="M304">
        <v>4.3473837486561298</v>
      </c>
      <c r="O304">
        <v>59.574986628734102</v>
      </c>
      <c r="P304">
        <v>9.2110977457377907E-3</v>
      </c>
      <c r="Q304">
        <v>1.5</v>
      </c>
      <c r="R304">
        <v>0.16984236619731399</v>
      </c>
      <c r="S304" t="s">
        <v>1630</v>
      </c>
      <c r="T304" t="s">
        <v>2650</v>
      </c>
      <c r="U304" t="s">
        <v>2650</v>
      </c>
      <c r="V304" t="s">
        <v>2650</v>
      </c>
      <c r="W304" t="s">
        <v>2954</v>
      </c>
      <c r="X304">
        <v>2</v>
      </c>
      <c r="Y304" t="s">
        <v>4274</v>
      </c>
      <c r="Z304" t="s">
        <v>5584</v>
      </c>
      <c r="AA304">
        <v>1.1180774641016811</v>
      </c>
      <c r="AB304" t="str">
        <f>HYPERLINK("Melting_Curves/meltCurve_P08246_ELANE.pdf", "Melting_Curves/meltCurve_P08246_ELANE.pdf")</f>
        <v>Melting_Curves/meltCurve_P08246_ELANE.pdf</v>
      </c>
    </row>
    <row r="305" spans="1:28" x14ac:dyDescent="0.25">
      <c r="A305" t="s">
        <v>309</v>
      </c>
      <c r="B305">
        <v>1</v>
      </c>
      <c r="C305">
        <v>0.89905231077526804</v>
      </c>
      <c r="D305">
        <v>1.7949734897507601</v>
      </c>
      <c r="E305">
        <v>3.0390765248611902</v>
      </c>
      <c r="F305">
        <v>2.6276040579468098</v>
      </c>
      <c r="G305">
        <v>2.7390723500187901</v>
      </c>
      <c r="H305">
        <v>2.4818603097733098</v>
      </c>
      <c r="I305">
        <v>3.0652945351312999</v>
      </c>
      <c r="J305">
        <v>2.0096438859433099</v>
      </c>
      <c r="K305">
        <v>2.7118106291487498</v>
      </c>
      <c r="L305">
        <v>11076.762762275201</v>
      </c>
      <c r="M305">
        <v>250</v>
      </c>
      <c r="O305">
        <v>44.304196659354197</v>
      </c>
      <c r="P305">
        <v>0.70535048321082605</v>
      </c>
      <c r="Q305">
        <v>1.5</v>
      </c>
      <c r="R305">
        <v>-0.86425585472922895</v>
      </c>
      <c r="S305" t="s">
        <v>1631</v>
      </c>
      <c r="T305" t="s">
        <v>2650</v>
      </c>
      <c r="U305" t="s">
        <v>2650</v>
      </c>
      <c r="V305" t="s">
        <v>2650</v>
      </c>
      <c r="W305" t="s">
        <v>2955</v>
      </c>
      <c r="X305">
        <v>8</v>
      </c>
      <c r="Y305" t="s">
        <v>4275</v>
      </c>
      <c r="Z305" t="s">
        <v>5585</v>
      </c>
      <c r="AA305">
        <v>1.428176936755805</v>
      </c>
      <c r="AB305" t="str">
        <f>HYPERLINK("Melting_Curves/meltCurve_P08253_3_MMP2.pdf", "Melting_Curves/meltCurve_P08253_3_MMP2.pdf")</f>
        <v>Melting_Curves/meltCurve_P08253_3_MMP2.pdf</v>
      </c>
    </row>
    <row r="306" spans="1:28" x14ac:dyDescent="0.25">
      <c r="A306" t="s">
        <v>310</v>
      </c>
      <c r="B306">
        <v>1</v>
      </c>
      <c r="C306">
        <v>0.82974493369179703</v>
      </c>
      <c r="D306">
        <v>1.24903418204821</v>
      </c>
      <c r="E306">
        <v>1.5310530239703599</v>
      </c>
      <c r="F306">
        <v>1.16225741590041</v>
      </c>
      <c r="G306">
        <v>1.18507557101868</v>
      </c>
      <c r="H306">
        <v>1.01595011635</v>
      </c>
      <c r="I306">
        <v>1.2276619298285201</v>
      </c>
      <c r="J306">
        <v>0.80286017667125997</v>
      </c>
      <c r="K306">
        <v>1.10898493098073</v>
      </c>
      <c r="L306">
        <v>11115.004594259901</v>
      </c>
      <c r="M306">
        <v>250</v>
      </c>
      <c r="O306">
        <v>44.457173219700103</v>
      </c>
      <c r="P306">
        <v>0.22544130587344999</v>
      </c>
      <c r="Q306">
        <v>1.16035973082939</v>
      </c>
      <c r="R306">
        <v>0.198519333729889</v>
      </c>
      <c r="S306" t="s">
        <v>1632</v>
      </c>
      <c r="T306" t="s">
        <v>2650</v>
      </c>
      <c r="U306" t="s">
        <v>2650</v>
      </c>
      <c r="V306" t="s">
        <v>2650</v>
      </c>
      <c r="W306" t="s">
        <v>2956</v>
      </c>
      <c r="X306">
        <v>11</v>
      </c>
      <c r="Y306" t="s">
        <v>4276</v>
      </c>
      <c r="Z306" t="s">
        <v>5586</v>
      </c>
      <c r="AA306">
        <v>1.136506973617146</v>
      </c>
      <c r="AB306" t="str">
        <f>HYPERLINK("Melting_Curves/meltCurve_P08294_SOD3.pdf", "Melting_Curves/meltCurve_P08294_SOD3.pdf")</f>
        <v>Melting_Curves/meltCurve_P08294_SOD3.pdf</v>
      </c>
    </row>
    <row r="307" spans="1:28" x14ac:dyDescent="0.25">
      <c r="A307" t="s">
        <v>311</v>
      </c>
      <c r="B307">
        <v>1</v>
      </c>
      <c r="C307">
        <v>0.82864627475152197</v>
      </c>
      <c r="D307">
        <v>1.18237152322983</v>
      </c>
      <c r="E307">
        <v>1.64588951383003</v>
      </c>
      <c r="F307">
        <v>1.62362277525233</v>
      </c>
      <c r="G307">
        <v>1.4604360890669501</v>
      </c>
      <c r="H307">
        <v>0.98659372833037995</v>
      </c>
      <c r="I307">
        <v>1.20548578472918</v>
      </c>
      <c r="J307">
        <v>0.78280298944448701</v>
      </c>
      <c r="K307">
        <v>1.01710455350952</v>
      </c>
      <c r="L307">
        <v>1555.6760379848699</v>
      </c>
      <c r="M307">
        <v>22.527762448828099</v>
      </c>
      <c r="O307">
        <v>68.518720307517199</v>
      </c>
      <c r="P307">
        <v>-4.1577515280700004E-3</v>
      </c>
      <c r="Q307">
        <v>0.94941743850100402</v>
      </c>
      <c r="R307">
        <v>-0.34308811147141099</v>
      </c>
      <c r="S307" t="s">
        <v>1633</v>
      </c>
      <c r="T307" t="s">
        <v>2650</v>
      </c>
      <c r="U307" t="s">
        <v>2650</v>
      </c>
      <c r="V307" t="s">
        <v>2650</v>
      </c>
      <c r="W307" t="s">
        <v>2957</v>
      </c>
      <c r="X307">
        <v>8</v>
      </c>
      <c r="Y307" t="s">
        <v>4277</v>
      </c>
      <c r="Z307" t="s">
        <v>5587</v>
      </c>
      <c r="AA307">
        <v>0.99589184178095758</v>
      </c>
      <c r="AB307" t="str">
        <f>HYPERLINK("Melting_Curves/meltCurve_P08473_MME.pdf", "Melting_Curves/meltCurve_P08473_MME.pdf")</f>
        <v>Melting_Curves/meltCurve_P08473_MME.pdf</v>
      </c>
    </row>
    <row r="308" spans="1:28" x14ac:dyDescent="0.25">
      <c r="A308" t="s">
        <v>312</v>
      </c>
      <c r="B308">
        <v>1</v>
      </c>
      <c r="C308">
        <v>0.87437638014230801</v>
      </c>
      <c r="D308">
        <v>1.23603500449824</v>
      </c>
      <c r="E308">
        <v>1.94956516997901</v>
      </c>
      <c r="F308">
        <v>2.1268504130203598</v>
      </c>
      <c r="G308">
        <v>2.3535345274120099</v>
      </c>
      <c r="H308">
        <v>2.2507565224503101</v>
      </c>
      <c r="I308">
        <v>2.5431149641503801</v>
      </c>
      <c r="J308">
        <v>2.0260898012595101</v>
      </c>
      <c r="K308">
        <v>2.4455985387530301</v>
      </c>
      <c r="L308">
        <v>11505.1444748145</v>
      </c>
      <c r="M308">
        <v>250</v>
      </c>
      <c r="O308">
        <v>46.017632702479503</v>
      </c>
      <c r="P308">
        <v>0.67908751658313504</v>
      </c>
      <c r="Q308">
        <v>1.5</v>
      </c>
      <c r="R308">
        <v>-0.22095818275633</v>
      </c>
      <c r="S308" t="s">
        <v>1634</v>
      </c>
      <c r="T308" t="s">
        <v>2650</v>
      </c>
      <c r="U308" t="s">
        <v>2650</v>
      </c>
      <c r="V308" t="s">
        <v>2650</v>
      </c>
      <c r="W308" t="s">
        <v>2958</v>
      </c>
      <c r="X308">
        <v>5</v>
      </c>
      <c r="Y308" t="s">
        <v>4278</v>
      </c>
      <c r="Z308" t="s">
        <v>5588</v>
      </c>
      <c r="AA308">
        <v>1.3996166523133799</v>
      </c>
      <c r="AB308" t="str">
        <f>HYPERLINK("Melting_Curves/meltCurve_P08571_CD14.pdf", "Melting_Curves/meltCurve_P08571_CD14.pdf")</f>
        <v>Melting_Curves/meltCurve_P08571_CD14.pdf</v>
      </c>
    </row>
    <row r="309" spans="1:28" x14ac:dyDescent="0.25">
      <c r="A309" t="s">
        <v>313</v>
      </c>
      <c r="B309">
        <v>1</v>
      </c>
      <c r="C309">
        <v>0.86309433962264104</v>
      </c>
      <c r="D309">
        <v>1.24369811320755</v>
      </c>
      <c r="E309">
        <v>1.49796226415094</v>
      </c>
      <c r="F309">
        <v>1.1504654088050299</v>
      </c>
      <c r="G309">
        <v>1.2012327044025199</v>
      </c>
      <c r="H309">
        <v>1.07811320754717</v>
      </c>
      <c r="I309">
        <v>1.2581886792452801</v>
      </c>
      <c r="J309">
        <v>0.86100628930817602</v>
      </c>
      <c r="K309">
        <v>1.1501132075471701</v>
      </c>
      <c r="L309">
        <v>11117.537324070699</v>
      </c>
      <c r="M309">
        <v>250</v>
      </c>
      <c r="O309">
        <v>44.467327442483104</v>
      </c>
      <c r="P309">
        <v>0.25312052662501799</v>
      </c>
      <c r="Q309">
        <v>1.1800893970831601</v>
      </c>
      <c r="R309">
        <v>0.26797599839295899</v>
      </c>
      <c r="S309" t="s">
        <v>1635</v>
      </c>
      <c r="T309" t="s">
        <v>2650</v>
      </c>
      <c r="U309" t="s">
        <v>2650</v>
      </c>
      <c r="V309" t="s">
        <v>2650</v>
      </c>
      <c r="W309" t="s">
        <v>2959</v>
      </c>
      <c r="X309">
        <v>17</v>
      </c>
      <c r="Y309" t="s">
        <v>4279</v>
      </c>
      <c r="Z309" t="s">
        <v>5589</v>
      </c>
      <c r="AA309">
        <v>1.153241125722656</v>
      </c>
      <c r="AB309" t="str">
        <f>HYPERLINK("Melting_Curves/meltCurve_P08603_CFH.pdf", "Melting_Curves/meltCurve_P08603_CFH.pdf")</f>
        <v>Melting_Curves/meltCurve_P08603_CFH.pdf</v>
      </c>
    </row>
    <row r="310" spans="1:28" x14ac:dyDescent="0.25">
      <c r="A310" t="s">
        <v>314</v>
      </c>
      <c r="B310">
        <v>1</v>
      </c>
      <c r="C310">
        <v>0.70755080310822105</v>
      </c>
      <c r="D310">
        <v>1.00718153190911</v>
      </c>
      <c r="E310">
        <v>0.97757187195577799</v>
      </c>
      <c r="F310">
        <v>0.93840193924016202</v>
      </c>
      <c r="G310">
        <v>0.789402143132235</v>
      </c>
      <c r="H310">
        <v>0.81112797625790101</v>
      </c>
      <c r="I310">
        <v>0.82342946467003497</v>
      </c>
      <c r="J310">
        <v>0.55515280578147297</v>
      </c>
      <c r="K310">
        <v>0.715389320586303</v>
      </c>
      <c r="L310">
        <v>281.519346323722</v>
      </c>
      <c r="M310">
        <v>3.3288563206850199</v>
      </c>
      <c r="O310">
        <v>65.036235539439502</v>
      </c>
      <c r="P310">
        <v>-1.3087237243258E-2</v>
      </c>
      <c r="Q310">
        <v>0</v>
      </c>
      <c r="R310">
        <v>0.44019654470109998</v>
      </c>
      <c r="S310" t="s">
        <v>1636</v>
      </c>
      <c r="T310" t="s">
        <v>2650</v>
      </c>
      <c r="U310" t="s">
        <v>2650</v>
      </c>
      <c r="V310" t="s">
        <v>2650</v>
      </c>
      <c r="W310" t="s">
        <v>2960</v>
      </c>
      <c r="X310">
        <v>1</v>
      </c>
      <c r="Y310" t="s">
        <v>4280</v>
      </c>
      <c r="Z310" t="s">
        <v>5590</v>
      </c>
      <c r="AA310">
        <v>0.84463065964079864</v>
      </c>
      <c r="AB310" t="str">
        <f>HYPERLINK("Melting_Curves/meltCurve_P08620_FGF4.pdf", "Melting_Curves/meltCurve_P08620_FGF4.pdf")</f>
        <v>Melting_Curves/meltCurve_P08620_FGF4.pdf</v>
      </c>
    </row>
    <row r="311" spans="1:28" x14ac:dyDescent="0.25">
      <c r="A311" t="s">
        <v>315</v>
      </c>
      <c r="B311">
        <v>1</v>
      </c>
      <c r="C311">
        <v>0.71069797431626502</v>
      </c>
      <c r="D311">
        <v>0.86511203051958496</v>
      </c>
      <c r="E311">
        <v>0.976046424157756</v>
      </c>
      <c r="F311">
        <v>1.11471710278867</v>
      </c>
      <c r="G311">
        <v>0.78173123421632396</v>
      </c>
      <c r="H311">
        <v>0.50168180108537996</v>
      </c>
      <c r="I311">
        <v>0.74061576487023795</v>
      </c>
      <c r="J311">
        <v>0.56321530277792697</v>
      </c>
      <c r="K311">
        <v>0.64747729837193102</v>
      </c>
      <c r="L311">
        <v>310.363655924863</v>
      </c>
      <c r="M311">
        <v>4.1216136999596298</v>
      </c>
      <c r="O311">
        <v>62.398303033405497</v>
      </c>
      <c r="P311">
        <v>-1.6706046509113798E-2</v>
      </c>
      <c r="Q311">
        <v>0</v>
      </c>
      <c r="R311">
        <v>0.41597195294501299</v>
      </c>
      <c r="S311" t="s">
        <v>1637</v>
      </c>
      <c r="T311" t="s">
        <v>2650</v>
      </c>
      <c r="U311" t="s">
        <v>2650</v>
      </c>
      <c r="V311" t="s">
        <v>2650</v>
      </c>
      <c r="W311" t="s">
        <v>2961</v>
      </c>
      <c r="X311">
        <v>3</v>
      </c>
      <c r="Y311" t="s">
        <v>4281</v>
      </c>
      <c r="Z311" t="s">
        <v>5591</v>
      </c>
      <c r="AA311">
        <v>0.80510119372918287</v>
      </c>
      <c r="AB311" t="str">
        <f>HYPERLINK("Melting_Curves/meltCurve_P08670_VIM.pdf", "Melting_Curves/meltCurve_P08670_VIM.pdf")</f>
        <v>Melting_Curves/meltCurve_P08670_VIM.pdf</v>
      </c>
    </row>
    <row r="312" spans="1:28" x14ac:dyDescent="0.25">
      <c r="A312" t="s">
        <v>316</v>
      </c>
      <c r="B312">
        <v>1</v>
      </c>
      <c r="C312">
        <v>0.80452004664816801</v>
      </c>
      <c r="D312">
        <v>1.1327328051902801</v>
      </c>
      <c r="E312">
        <v>1.29722121687377</v>
      </c>
      <c r="F312">
        <v>1.08377903781451</v>
      </c>
      <c r="G312">
        <v>1.23959464350344</v>
      </c>
      <c r="H312">
        <v>1.03426227530462</v>
      </c>
      <c r="I312">
        <v>1.20562727041192</v>
      </c>
      <c r="J312">
        <v>0.83524349539550402</v>
      </c>
      <c r="K312">
        <v>1.0806289459926799</v>
      </c>
      <c r="L312">
        <v>11152.145901441099</v>
      </c>
      <c r="M312">
        <v>250</v>
      </c>
      <c r="O312">
        <v>44.6057388334102</v>
      </c>
      <c r="P312">
        <v>0.15923009228962701</v>
      </c>
      <c r="Q312">
        <v>1.1136411893573099</v>
      </c>
      <c r="R312">
        <v>0.223096781284847</v>
      </c>
      <c r="S312" t="s">
        <v>1638</v>
      </c>
      <c r="T312" t="s">
        <v>2650</v>
      </c>
      <c r="U312" t="s">
        <v>2650</v>
      </c>
      <c r="V312" t="s">
        <v>2650</v>
      </c>
      <c r="W312" t="s">
        <v>2962</v>
      </c>
      <c r="X312">
        <v>14</v>
      </c>
      <c r="Y312" t="s">
        <v>4282</v>
      </c>
      <c r="Z312" t="s">
        <v>5592</v>
      </c>
      <c r="AA312">
        <v>1.0961747952804199</v>
      </c>
      <c r="AB312" t="str">
        <f>HYPERLINK("Melting_Curves/meltCurve_P08697_SERPINF2.pdf", "Melting_Curves/meltCurve_P08697_SERPINF2.pdf")</f>
        <v>Melting_Curves/meltCurve_P08697_SERPINF2.pdf</v>
      </c>
    </row>
    <row r="313" spans="1:28" x14ac:dyDescent="0.25">
      <c r="A313" t="s">
        <v>317</v>
      </c>
      <c r="B313">
        <v>1</v>
      </c>
      <c r="C313">
        <v>0.90743980242848299</v>
      </c>
      <c r="D313">
        <v>1.27294710845853</v>
      </c>
      <c r="E313">
        <v>1.60881868697263</v>
      </c>
      <c r="F313">
        <v>1.3469849763325801</v>
      </c>
      <c r="G313">
        <v>1.8616999382588999</v>
      </c>
      <c r="H313">
        <v>2.5468203334019299</v>
      </c>
      <c r="I313">
        <v>3.8639637785552599</v>
      </c>
      <c r="J313">
        <v>2.87286478699321</v>
      </c>
      <c r="K313">
        <v>3.9661967483021199</v>
      </c>
      <c r="L313">
        <v>11491.531625243701</v>
      </c>
      <c r="M313">
        <v>250</v>
      </c>
      <c r="O313">
        <v>45.963185089868503</v>
      </c>
      <c r="P313">
        <v>0.67989196254488005</v>
      </c>
      <c r="Q313">
        <v>1.5</v>
      </c>
      <c r="R313">
        <v>-0.28179140822878601</v>
      </c>
      <c r="S313" t="s">
        <v>1639</v>
      </c>
      <c r="T313" t="s">
        <v>2650</v>
      </c>
      <c r="U313" t="s">
        <v>2650</v>
      </c>
      <c r="V313" t="s">
        <v>2650</v>
      </c>
      <c r="W313" t="s">
        <v>2963</v>
      </c>
      <c r="X313">
        <v>9</v>
      </c>
      <c r="Y313" t="s">
        <v>4283</v>
      </c>
      <c r="Z313" t="s">
        <v>5593</v>
      </c>
      <c r="AA313">
        <v>1.4005242233987769</v>
      </c>
      <c r="AB313" t="str">
        <f>HYPERLINK("Melting_Curves/meltCurve_P08758_ANXA5.pdf", "Melting_Curves/meltCurve_P08758_ANXA5.pdf")</f>
        <v>Melting_Curves/meltCurve_P08758_ANXA5.pdf</v>
      </c>
    </row>
    <row r="314" spans="1:28" x14ac:dyDescent="0.25">
      <c r="A314" t="s">
        <v>318</v>
      </c>
      <c r="B314">
        <v>1</v>
      </c>
      <c r="C314">
        <v>0.77154022276162404</v>
      </c>
      <c r="D314">
        <v>0.98562550568954499</v>
      </c>
      <c r="E314">
        <v>1.3784881819277299</v>
      </c>
      <c r="F314">
        <v>1.16581452598599</v>
      </c>
      <c r="G314">
        <v>0.99555853948251805</v>
      </c>
      <c r="H314">
        <v>0.86827110124119899</v>
      </c>
      <c r="I314">
        <v>1.0165091497529699</v>
      </c>
      <c r="J314">
        <v>0.76871696878927198</v>
      </c>
      <c r="K314">
        <v>0.96116304291690302</v>
      </c>
      <c r="L314">
        <v>14422.6768628269</v>
      </c>
      <c r="M314">
        <v>250</v>
      </c>
      <c r="O314">
        <v>57.687017670172402</v>
      </c>
      <c r="P314">
        <v>-0.104372428740947</v>
      </c>
      <c r="Q314">
        <v>0.90366505726332802</v>
      </c>
      <c r="R314">
        <v>0.123253714141977</v>
      </c>
      <c r="S314" t="s">
        <v>1640</v>
      </c>
      <c r="T314" t="s">
        <v>2650</v>
      </c>
      <c r="U314" t="s">
        <v>2650</v>
      </c>
      <c r="V314" t="s">
        <v>2650</v>
      </c>
      <c r="W314" t="s">
        <v>2964</v>
      </c>
      <c r="X314">
        <v>1</v>
      </c>
      <c r="Y314" t="s">
        <v>4284</v>
      </c>
      <c r="Z314" t="s">
        <v>5594</v>
      </c>
      <c r="AA314">
        <v>0.96048258712900048</v>
      </c>
      <c r="AB314" t="str">
        <f>HYPERLINK("Melting_Curves/meltCurve_P08833_IGFBP1.pdf", "Melting_Curves/meltCurve_P08833_IGFBP1.pdf")</f>
        <v>Melting_Curves/meltCurve_P08833_IGFBP1.pdf</v>
      </c>
    </row>
    <row r="315" spans="1:28" x14ac:dyDescent="0.25">
      <c r="A315" t="s">
        <v>319</v>
      </c>
      <c r="B315">
        <v>1</v>
      </c>
      <c r="C315">
        <v>0.75915200632536095</v>
      </c>
      <c r="D315">
        <v>1.19302233643012</v>
      </c>
      <c r="E315">
        <v>1.7181261118798199</v>
      </c>
      <c r="F315">
        <v>1.4130262897805901</v>
      </c>
      <c r="G315">
        <v>1.3838703301047599</v>
      </c>
      <c r="H315">
        <v>1.6697964024510801</v>
      </c>
      <c r="I315">
        <v>2.5308361336232501</v>
      </c>
      <c r="J315">
        <v>2.0035580154180699</v>
      </c>
      <c r="K315">
        <v>3.1498319826052601</v>
      </c>
      <c r="L315">
        <v>11521.3425799907</v>
      </c>
      <c r="M315">
        <v>250</v>
      </c>
      <c r="O315">
        <v>46.082422023111903</v>
      </c>
      <c r="P315">
        <v>0.67813277272575601</v>
      </c>
      <c r="Q315">
        <v>1.5</v>
      </c>
      <c r="R315">
        <v>0.107174467779655</v>
      </c>
      <c r="S315" t="s">
        <v>1641</v>
      </c>
      <c r="T315" t="s">
        <v>2650</v>
      </c>
      <c r="U315" t="s">
        <v>2650</v>
      </c>
      <c r="V315" t="s">
        <v>2650</v>
      </c>
      <c r="W315" t="s">
        <v>2965</v>
      </c>
      <c r="X315">
        <v>2</v>
      </c>
      <c r="Y315" t="s">
        <v>4285</v>
      </c>
      <c r="Z315" t="s">
        <v>5595</v>
      </c>
      <c r="AA315">
        <v>1.398536721780121</v>
      </c>
      <c r="AB315" t="str">
        <f>HYPERLINK("Melting_Curves/meltCurve_P08865_RPSA.pdf", "Melting_Curves/meltCurve_P08865_RPSA.pdf")</f>
        <v>Melting_Curves/meltCurve_P08865_RPSA.pdf</v>
      </c>
    </row>
    <row r="316" spans="1:28" x14ac:dyDescent="0.25">
      <c r="A316" t="s">
        <v>320</v>
      </c>
      <c r="B316">
        <v>1</v>
      </c>
      <c r="C316">
        <v>0.87427962916562296</v>
      </c>
      <c r="D316">
        <v>1.19678651966926</v>
      </c>
      <c r="E316">
        <v>1.4933913806063599</v>
      </c>
      <c r="F316">
        <v>1.4756013530443499</v>
      </c>
      <c r="G316">
        <v>2.0245239288398902</v>
      </c>
      <c r="H316">
        <v>3.18654472563267</v>
      </c>
      <c r="I316">
        <v>4.6708218491606104</v>
      </c>
      <c r="J316">
        <v>3.1859183162114801</v>
      </c>
      <c r="K316">
        <v>4.3288023051866702</v>
      </c>
      <c r="L316">
        <v>10856.221487200701</v>
      </c>
      <c r="M316">
        <v>235.572490846563</v>
      </c>
      <c r="O316">
        <v>46.081076354554398</v>
      </c>
      <c r="P316">
        <v>0.63901604992969696</v>
      </c>
      <c r="Q316">
        <v>1.5</v>
      </c>
      <c r="R316">
        <v>-0.36293005249501298</v>
      </c>
      <c r="S316" t="s">
        <v>1642</v>
      </c>
      <c r="T316" t="s">
        <v>2650</v>
      </c>
      <c r="U316" t="s">
        <v>2650</v>
      </c>
      <c r="V316" t="s">
        <v>2650</v>
      </c>
      <c r="W316" t="s">
        <v>2966</v>
      </c>
      <c r="X316">
        <v>8</v>
      </c>
      <c r="Y316" t="s">
        <v>4286</v>
      </c>
      <c r="Z316" t="s">
        <v>5596</v>
      </c>
      <c r="AA316">
        <v>1.39854746362297</v>
      </c>
      <c r="AB316" t="str">
        <f>HYPERLINK("Melting_Curves/meltCurve_P09211_GSTP1.pdf", "Melting_Curves/meltCurve_P09211_GSTP1.pdf")</f>
        <v>Melting_Curves/meltCurve_P09211_GSTP1.pdf</v>
      </c>
    </row>
    <row r="317" spans="1:28" x14ac:dyDescent="0.25">
      <c r="A317" t="s">
        <v>321</v>
      </c>
      <c r="B317">
        <v>1</v>
      </c>
      <c r="C317">
        <v>0.80785764814714001</v>
      </c>
      <c r="D317">
        <v>1.0999074930619801</v>
      </c>
      <c r="E317">
        <v>1.1922511835446501</v>
      </c>
      <c r="F317">
        <v>0.93290526201229795</v>
      </c>
      <c r="G317">
        <v>0.98095445393698599</v>
      </c>
      <c r="H317">
        <v>1.0048974261304899</v>
      </c>
      <c r="I317">
        <v>0.99004190020133898</v>
      </c>
      <c r="J317">
        <v>0.81803341132937901</v>
      </c>
      <c r="K317">
        <v>0.93573488599880295</v>
      </c>
      <c r="L317">
        <v>15000</v>
      </c>
      <c r="M317">
        <v>231.970280245792</v>
      </c>
      <c r="O317">
        <v>64.658650328543203</v>
      </c>
      <c r="P317">
        <v>-0.11042304806341301</v>
      </c>
      <c r="Q317">
        <v>0.87688413928073605</v>
      </c>
      <c r="R317">
        <v>0.20566475240687801</v>
      </c>
      <c r="S317" t="s">
        <v>1643</v>
      </c>
      <c r="T317" t="s">
        <v>2650</v>
      </c>
      <c r="U317" t="s">
        <v>2650</v>
      </c>
      <c r="V317" t="s">
        <v>2650</v>
      </c>
      <c r="W317" t="s">
        <v>2967</v>
      </c>
      <c r="X317">
        <v>5</v>
      </c>
      <c r="Y317" t="s">
        <v>4287</v>
      </c>
      <c r="Z317" t="s">
        <v>5597</v>
      </c>
      <c r="AA317">
        <v>0.97811578798377985</v>
      </c>
      <c r="AB317" t="str">
        <f>HYPERLINK("Melting_Curves/meltCurve_P09228_CST2.pdf", "Melting_Curves/meltCurve_P09228_CST2.pdf")</f>
        <v>Melting_Curves/meltCurve_P09228_CST2.pdf</v>
      </c>
    </row>
    <row r="318" spans="1:28" x14ac:dyDescent="0.25">
      <c r="A318" t="s">
        <v>322</v>
      </c>
      <c r="B318">
        <v>1</v>
      </c>
      <c r="C318">
        <v>0.77334933973589404</v>
      </c>
      <c r="D318">
        <v>1.2010804321728701</v>
      </c>
      <c r="E318">
        <v>1.54201680672269</v>
      </c>
      <c r="F318">
        <v>1.3303721488595399</v>
      </c>
      <c r="G318">
        <v>1.61032412965186</v>
      </c>
      <c r="H318">
        <v>3.1319327731092401</v>
      </c>
      <c r="I318">
        <v>5.3022809123649504</v>
      </c>
      <c r="J318">
        <v>3.1947779111644699</v>
      </c>
      <c r="K318">
        <v>4.6287515006002398</v>
      </c>
      <c r="L318">
        <v>11257.627588387901</v>
      </c>
      <c r="M318">
        <v>244.334558695011</v>
      </c>
      <c r="O318">
        <v>46.071559323277</v>
      </c>
      <c r="P318">
        <v>0.66292138386669897</v>
      </c>
      <c r="Q318">
        <v>1.5</v>
      </c>
      <c r="R318">
        <v>-0.29349705492522998</v>
      </c>
      <c r="S318" t="s">
        <v>1644</v>
      </c>
      <c r="T318" t="s">
        <v>2650</v>
      </c>
      <c r="U318" t="s">
        <v>2650</v>
      </c>
      <c r="V318" t="s">
        <v>2650</v>
      </c>
      <c r="W318" t="s">
        <v>2968</v>
      </c>
      <c r="X318">
        <v>2</v>
      </c>
      <c r="Y318" t="s">
        <v>4288</v>
      </c>
      <c r="Z318" t="s">
        <v>5598</v>
      </c>
      <c r="AA318">
        <v>1.39871362112305</v>
      </c>
      <c r="AB318" t="str">
        <f>HYPERLINK("Melting_Curves/meltCurve_P09417_2_QDPR.pdf", "Melting_Curves/meltCurve_P09417_2_QDPR.pdf")</f>
        <v>Melting_Curves/meltCurve_P09417_2_QDPR.pdf</v>
      </c>
    </row>
    <row r="319" spans="1:28" x14ac:dyDescent="0.25">
      <c r="A319" t="s">
        <v>323</v>
      </c>
      <c r="B319">
        <v>1</v>
      </c>
      <c r="C319">
        <v>0.89874280521054195</v>
      </c>
      <c r="D319">
        <v>1.1816873674644</v>
      </c>
      <c r="E319">
        <v>1.4118448954862199</v>
      </c>
      <c r="F319">
        <v>1.2286428355043899</v>
      </c>
      <c r="G319">
        <v>1.3729930324144199</v>
      </c>
      <c r="H319">
        <v>1.2637079672826399</v>
      </c>
      <c r="I319">
        <v>1.4553923053620099</v>
      </c>
      <c r="J319">
        <v>1.0630869433504999</v>
      </c>
      <c r="K319">
        <v>1.4004089669797</v>
      </c>
      <c r="L319">
        <v>11485.316880365101</v>
      </c>
      <c r="M319">
        <v>250</v>
      </c>
      <c r="O319">
        <v>45.938328204045</v>
      </c>
      <c r="P319">
        <v>0.42682942456303402</v>
      </c>
      <c r="Q319">
        <v>1.31372527848945</v>
      </c>
      <c r="R319">
        <v>0.62251524162475202</v>
      </c>
      <c r="S319" t="s">
        <v>1645</v>
      </c>
      <c r="T319" t="s">
        <v>2650</v>
      </c>
      <c r="U319" t="s">
        <v>2650</v>
      </c>
      <c r="V319" t="s">
        <v>2650</v>
      </c>
      <c r="W319" t="s">
        <v>2969</v>
      </c>
      <c r="X319">
        <v>6</v>
      </c>
      <c r="Y319" t="s">
        <v>4289</v>
      </c>
      <c r="Z319" t="s">
        <v>5599</v>
      </c>
      <c r="AA319">
        <v>1.251569123751072</v>
      </c>
      <c r="AB319" t="str">
        <f>HYPERLINK("Melting_Curves/meltCurve_P09466_2_PAEP.pdf", "Melting_Curves/meltCurve_P09466_2_PAEP.pdf")</f>
        <v>Melting_Curves/meltCurve_P09466_2_PAEP.pdf</v>
      </c>
    </row>
    <row r="320" spans="1:28" x14ac:dyDescent="0.25">
      <c r="A320" t="s">
        <v>324</v>
      </c>
      <c r="B320">
        <v>1</v>
      </c>
      <c r="C320">
        <v>1.0641818181818199</v>
      </c>
      <c r="D320">
        <v>1.2952121212121199</v>
      </c>
      <c r="E320">
        <v>1.6223030303030299</v>
      </c>
      <c r="F320">
        <v>1.4166666666666701</v>
      </c>
      <c r="G320">
        <v>1.5020606060606101</v>
      </c>
      <c r="H320">
        <v>1.27969696969697</v>
      </c>
      <c r="I320">
        <v>1.7433939393939399</v>
      </c>
      <c r="J320">
        <v>1.39278787878788</v>
      </c>
      <c r="K320">
        <v>1.60981818181818</v>
      </c>
      <c r="L320">
        <v>2121.2308152743299</v>
      </c>
      <c r="M320">
        <v>46.611561305836197</v>
      </c>
      <c r="O320">
        <v>45.4251557759939</v>
      </c>
      <c r="P320">
        <v>0.12826487235199499</v>
      </c>
      <c r="Q320">
        <v>1.5</v>
      </c>
      <c r="R320">
        <v>0.69875671225737801</v>
      </c>
      <c r="S320" t="s">
        <v>1646</v>
      </c>
      <c r="T320" t="s">
        <v>2650</v>
      </c>
      <c r="U320" t="s">
        <v>2650</v>
      </c>
      <c r="V320" t="s">
        <v>2650</v>
      </c>
      <c r="W320" t="s">
        <v>2970</v>
      </c>
      <c r="X320">
        <v>5</v>
      </c>
      <c r="Y320" t="s">
        <v>4290</v>
      </c>
      <c r="Z320" t="s">
        <v>5600</v>
      </c>
      <c r="AA320">
        <v>1.4070129403808871</v>
      </c>
      <c r="AB320" t="str">
        <f>HYPERLINK("Melting_Curves/meltCurve_P09467_FBP1.pdf", "Melting_Curves/meltCurve_P09467_FBP1.pdf")</f>
        <v>Melting_Curves/meltCurve_P09467_FBP1.pdf</v>
      </c>
    </row>
    <row r="321" spans="1:28" x14ac:dyDescent="0.25">
      <c r="A321" t="s">
        <v>325</v>
      </c>
      <c r="B321">
        <v>1</v>
      </c>
      <c r="C321">
        <v>0.75447555657562504</v>
      </c>
      <c r="D321">
        <v>1.13828322240073</v>
      </c>
      <c r="E321">
        <v>1.2994606380537099</v>
      </c>
      <c r="F321">
        <v>0.96425292632545301</v>
      </c>
      <c r="G321">
        <v>1.03419784255221</v>
      </c>
      <c r="H321">
        <v>0.96081019049804905</v>
      </c>
      <c r="I321">
        <v>1.0787812715170999</v>
      </c>
      <c r="J321">
        <v>0.70237548772090896</v>
      </c>
      <c r="K321">
        <v>0.94749827863208602</v>
      </c>
      <c r="L321">
        <v>15000</v>
      </c>
      <c r="M321">
        <v>229.34737943355401</v>
      </c>
      <c r="O321">
        <v>65.398006833537295</v>
      </c>
      <c r="P321">
        <v>-0.153351125182625</v>
      </c>
      <c r="Q321">
        <v>0.82508879607663299</v>
      </c>
      <c r="R321">
        <v>0.22103248367146</v>
      </c>
      <c r="S321" t="s">
        <v>1647</v>
      </c>
      <c r="T321" t="s">
        <v>2650</v>
      </c>
      <c r="U321" t="s">
        <v>2650</v>
      </c>
      <c r="V321" t="s">
        <v>2650</v>
      </c>
      <c r="W321" t="s">
        <v>2971</v>
      </c>
      <c r="X321">
        <v>5</v>
      </c>
      <c r="Y321" t="s">
        <v>2971</v>
      </c>
      <c r="Z321" t="s">
        <v>5601</v>
      </c>
      <c r="AA321">
        <v>0.97322145946944005</v>
      </c>
      <c r="AB321" t="str">
        <f>HYPERLINK("Melting_Curves/meltCurve_P09486_SPARC.pdf", "Melting_Curves/meltCurve_P09486_SPARC.pdf")</f>
        <v>Melting_Curves/meltCurve_P09486_SPARC.pdf</v>
      </c>
    </row>
    <row r="322" spans="1:28" x14ac:dyDescent="0.25">
      <c r="A322" t="s">
        <v>326</v>
      </c>
      <c r="B322">
        <v>1</v>
      </c>
      <c r="C322">
        <v>0.74560690823835296</v>
      </c>
      <c r="D322">
        <v>1.0216114580189899</v>
      </c>
      <c r="E322">
        <v>1.2504468534552799</v>
      </c>
      <c r="F322">
        <v>0.88999280391838298</v>
      </c>
      <c r="G322">
        <v>0.92752849416188898</v>
      </c>
      <c r="H322">
        <v>0.87399893219434099</v>
      </c>
      <c r="I322">
        <v>0.95805380811996599</v>
      </c>
      <c r="J322">
        <v>0.59864435107592995</v>
      </c>
      <c r="K322">
        <v>0.75844378931730105</v>
      </c>
      <c r="L322">
        <v>1169.7358845701399</v>
      </c>
      <c r="M322">
        <v>18.149141063370099</v>
      </c>
      <c r="O322">
        <v>63.684109695535099</v>
      </c>
      <c r="P322">
        <v>-2.67187888259755E-2</v>
      </c>
      <c r="Q322">
        <v>0.62500016876184405</v>
      </c>
      <c r="R322">
        <v>0.35077347531799602</v>
      </c>
      <c r="S322" t="s">
        <v>1648</v>
      </c>
      <c r="T322" t="s">
        <v>2650</v>
      </c>
      <c r="U322" t="s">
        <v>2650</v>
      </c>
      <c r="V322" t="s">
        <v>2650</v>
      </c>
      <c r="W322" t="s">
        <v>2972</v>
      </c>
      <c r="X322">
        <v>2</v>
      </c>
      <c r="Y322" t="s">
        <v>4291</v>
      </c>
      <c r="Z322" t="s">
        <v>5602</v>
      </c>
      <c r="AA322">
        <v>0.92615669439909587</v>
      </c>
      <c r="AB322" t="str">
        <f>HYPERLINK("Melting_Curves/meltCurve_P09497_2_CLTB.pdf", "Melting_Curves/meltCurve_P09497_2_CLTB.pdf")</f>
        <v>Melting_Curves/meltCurve_P09497_2_CLTB.pdf</v>
      </c>
    </row>
    <row r="323" spans="1:28" x14ac:dyDescent="0.25">
      <c r="A323" t="s">
        <v>327</v>
      </c>
      <c r="B323">
        <v>1</v>
      </c>
      <c r="C323">
        <v>0.80074595108763702</v>
      </c>
      <c r="D323">
        <v>1.2853888708102801</v>
      </c>
      <c r="E323">
        <v>1.53107712333225</v>
      </c>
      <c r="F323">
        <v>1.2709955192870901</v>
      </c>
      <c r="G323">
        <v>1.52669653808606</v>
      </c>
      <c r="H323">
        <v>2.7871786527823001</v>
      </c>
      <c r="I323">
        <v>4.3359032766777599</v>
      </c>
      <c r="J323">
        <v>2.9940674359808801</v>
      </c>
      <c r="K323">
        <v>4.3083681694160099</v>
      </c>
      <c r="L323">
        <v>11486.888855344099</v>
      </c>
      <c r="M323">
        <v>250</v>
      </c>
      <c r="O323">
        <v>45.9446155862693</v>
      </c>
      <c r="P323">
        <v>0.68016676122752695</v>
      </c>
      <c r="Q323">
        <v>1.5</v>
      </c>
      <c r="R323">
        <v>-0.24619726273131701</v>
      </c>
      <c r="S323" t="s">
        <v>1649</v>
      </c>
      <c r="T323" t="s">
        <v>2650</v>
      </c>
      <c r="U323" t="s">
        <v>2650</v>
      </c>
      <c r="V323" t="s">
        <v>2650</v>
      </c>
      <c r="W323" t="s">
        <v>2973</v>
      </c>
      <c r="X323">
        <v>8</v>
      </c>
      <c r="Y323" t="s">
        <v>4292</v>
      </c>
      <c r="Z323" t="s">
        <v>5603</v>
      </c>
      <c r="AA323">
        <v>1.4008337576880621</v>
      </c>
      <c r="AB323" t="str">
        <f>HYPERLINK("Melting_Curves/meltCurve_P09525_ANXA4.pdf", "Melting_Curves/meltCurve_P09525_ANXA4.pdf")</f>
        <v>Melting_Curves/meltCurve_P09525_ANXA4.pdf</v>
      </c>
    </row>
    <row r="324" spans="1:28" x14ac:dyDescent="0.25">
      <c r="A324" t="s">
        <v>328</v>
      </c>
      <c r="B324">
        <v>1</v>
      </c>
      <c r="C324">
        <v>0.87049628572119897</v>
      </c>
      <c r="D324">
        <v>1.1369564691364</v>
      </c>
      <c r="E324">
        <v>1.3963994483025599</v>
      </c>
      <c r="F324">
        <v>1.1010961356982101</v>
      </c>
      <c r="G324">
        <v>1.2027730055411701</v>
      </c>
      <c r="H324">
        <v>1.03651365935103</v>
      </c>
      <c r="I324">
        <v>1.19894983908825</v>
      </c>
      <c r="J324">
        <v>0.87666658600914704</v>
      </c>
      <c r="K324">
        <v>1.1695259757543499</v>
      </c>
      <c r="L324">
        <v>11328.9469109453</v>
      </c>
      <c r="M324">
        <v>250</v>
      </c>
      <c r="O324">
        <v>45.312887908958999</v>
      </c>
      <c r="P324">
        <v>0.19348190078606201</v>
      </c>
      <c r="Q324">
        <v>1.14027557821751</v>
      </c>
      <c r="R324">
        <v>0.253748241555383</v>
      </c>
      <c r="S324" t="s">
        <v>1650</v>
      </c>
      <c r="T324" t="s">
        <v>2650</v>
      </c>
      <c r="U324" t="s">
        <v>2650</v>
      </c>
      <c r="V324" t="s">
        <v>2650</v>
      </c>
      <c r="W324" t="s">
        <v>2974</v>
      </c>
      <c r="X324">
        <v>4</v>
      </c>
      <c r="Y324" t="s">
        <v>4293</v>
      </c>
      <c r="Z324" t="s">
        <v>5604</v>
      </c>
      <c r="AA324">
        <v>1.1154085827971369</v>
      </c>
      <c r="AB324" t="str">
        <f>HYPERLINK("Melting_Curves/meltCurve_P09529_INHBB.pdf", "Melting_Curves/meltCurve_P09529_INHBB.pdf")</f>
        <v>Melting_Curves/meltCurve_P09529_INHBB.pdf</v>
      </c>
    </row>
    <row r="325" spans="1:28" x14ac:dyDescent="0.25">
      <c r="A325" t="s">
        <v>329</v>
      </c>
      <c r="B325">
        <v>1</v>
      </c>
      <c r="C325">
        <v>0.86174676387442295</v>
      </c>
      <c r="D325">
        <v>1.1676833804493401</v>
      </c>
      <c r="E325">
        <v>1.20554976937956</v>
      </c>
      <c r="F325">
        <v>1.0307245945543799</v>
      </c>
      <c r="G325">
        <v>1.06609135545306</v>
      </c>
      <c r="H325">
        <v>0.97537568814164599</v>
      </c>
      <c r="I325">
        <v>1.0664782026484201</v>
      </c>
      <c r="J325">
        <v>0.78309775331051901</v>
      </c>
      <c r="K325">
        <v>1.01786936467788</v>
      </c>
      <c r="L325">
        <v>5283.5589144967398</v>
      </c>
      <c r="M325">
        <v>81.010275877948104</v>
      </c>
      <c r="O325">
        <v>65.181136003309007</v>
      </c>
      <c r="P325">
        <v>-2.8072415339349101E-2</v>
      </c>
      <c r="Q325">
        <v>0.90965137814888597</v>
      </c>
      <c r="R325">
        <v>8.2196384511376994E-2</v>
      </c>
      <c r="S325" t="s">
        <v>1651</v>
      </c>
      <c r="T325" t="s">
        <v>2650</v>
      </c>
      <c r="U325" t="s">
        <v>2650</v>
      </c>
      <c r="V325" t="s">
        <v>2650</v>
      </c>
      <c r="W325" t="s">
        <v>2975</v>
      </c>
      <c r="X325">
        <v>3</v>
      </c>
      <c r="Y325" t="s">
        <v>4294</v>
      </c>
      <c r="Z325" t="s">
        <v>5605</v>
      </c>
      <c r="AA325">
        <v>0.98569433088325364</v>
      </c>
      <c r="AB325" t="str">
        <f>HYPERLINK("Melting_Curves/meltCurve_P09603_CSF1.pdf", "Melting_Curves/meltCurve_P09603_CSF1.pdf")</f>
        <v>Melting_Curves/meltCurve_P09603_CSF1.pdf</v>
      </c>
    </row>
    <row r="326" spans="1:28" x14ac:dyDescent="0.25">
      <c r="A326" t="s">
        <v>330</v>
      </c>
      <c r="B326">
        <v>1</v>
      </c>
      <c r="C326">
        <v>0.83638525564803801</v>
      </c>
      <c r="D326">
        <v>1.17669441141498</v>
      </c>
      <c r="E326">
        <v>1.6704399524375699</v>
      </c>
      <c r="F326">
        <v>1.7388822829964301</v>
      </c>
      <c r="G326">
        <v>2.6115576694411402</v>
      </c>
      <c r="H326">
        <v>3.04133174791914</v>
      </c>
      <c r="I326">
        <v>3.8424732461355502</v>
      </c>
      <c r="J326">
        <v>2.70720570749108</v>
      </c>
      <c r="K326">
        <v>3.6800475624256799</v>
      </c>
      <c r="L326">
        <v>11527.792107380301</v>
      </c>
      <c r="M326">
        <v>250</v>
      </c>
      <c r="O326">
        <v>46.108218382216798</v>
      </c>
      <c r="P326">
        <v>0.67775337345818198</v>
      </c>
      <c r="Q326">
        <v>1.5</v>
      </c>
      <c r="R326">
        <v>-0.42091102584992501</v>
      </c>
      <c r="S326" t="s">
        <v>1652</v>
      </c>
      <c r="T326" t="s">
        <v>2650</v>
      </c>
      <c r="U326" t="s">
        <v>2650</v>
      </c>
      <c r="V326" t="s">
        <v>2650</v>
      </c>
      <c r="W326" t="s">
        <v>2976</v>
      </c>
      <c r="X326">
        <v>7</v>
      </c>
      <c r="Y326" t="s">
        <v>4295</v>
      </c>
      <c r="Z326" t="s">
        <v>5606</v>
      </c>
      <c r="AA326">
        <v>1.39810673064984</v>
      </c>
      <c r="AB326" t="str">
        <f>HYPERLINK("Melting_Curves/meltCurve_P09668_CTSH.pdf", "Melting_Curves/meltCurve_P09668_CTSH.pdf")</f>
        <v>Melting_Curves/meltCurve_P09668_CTSH.pdf</v>
      </c>
    </row>
    <row r="327" spans="1:28" x14ac:dyDescent="0.25">
      <c r="A327" t="s">
        <v>331</v>
      </c>
      <c r="B327">
        <v>1</v>
      </c>
      <c r="C327">
        <v>0.734630250875146</v>
      </c>
      <c r="D327">
        <v>1.1446725495915999</v>
      </c>
      <c r="E327">
        <v>1.3712988623103901</v>
      </c>
      <c r="F327">
        <v>0.98390096266044302</v>
      </c>
      <c r="G327">
        <v>1.01279900816803</v>
      </c>
      <c r="H327">
        <v>1.0580513418903199</v>
      </c>
      <c r="I327">
        <v>1.15508313885648</v>
      </c>
      <c r="J327">
        <v>0.70372666277712903</v>
      </c>
      <c r="K327">
        <v>0.99181373978996501</v>
      </c>
      <c r="L327">
        <v>2705.73234892959</v>
      </c>
      <c r="M327">
        <v>41.202159126909898</v>
      </c>
      <c r="O327">
        <v>65.515545161449595</v>
      </c>
      <c r="P327">
        <v>-1.9525877033525998E-2</v>
      </c>
      <c r="Q327">
        <v>0.87580785585484899</v>
      </c>
      <c r="R327">
        <v>5.3714326064377503E-2</v>
      </c>
      <c r="S327" t="s">
        <v>1653</v>
      </c>
      <c r="T327" t="s">
        <v>2650</v>
      </c>
      <c r="U327" t="s">
        <v>2650</v>
      </c>
      <c r="V327" t="s">
        <v>2650</v>
      </c>
      <c r="W327" t="s">
        <v>2977</v>
      </c>
      <c r="X327">
        <v>1</v>
      </c>
      <c r="Y327" t="s">
        <v>4296</v>
      </c>
      <c r="Z327" t="s">
        <v>5607</v>
      </c>
      <c r="AA327">
        <v>0.98200815410861808</v>
      </c>
      <c r="AB327" t="str">
        <f>HYPERLINK("Melting_Curves/meltCurve_P09758_TACSTD2.pdf", "Melting_Curves/meltCurve_P09758_TACSTD2.pdf")</f>
        <v>Melting_Curves/meltCurve_P09758_TACSTD2.pdf</v>
      </c>
    </row>
    <row r="328" spans="1:28" x14ac:dyDescent="0.25">
      <c r="A328" t="s">
        <v>332</v>
      </c>
      <c r="B328">
        <v>1</v>
      </c>
      <c r="C328">
        <v>0.73462594171582096</v>
      </c>
      <c r="D328">
        <v>1.0550721252116999</v>
      </c>
      <c r="E328">
        <v>1.42288150440927</v>
      </c>
      <c r="F328">
        <v>1.1118378788763701</v>
      </c>
      <c r="G328">
        <v>1.27781346726625</v>
      </c>
      <c r="H328">
        <v>1.1624131285405599</v>
      </c>
      <c r="I328">
        <v>1.55457571687204</v>
      </c>
      <c r="J328">
        <v>0.96770425743152499</v>
      </c>
      <c r="K328">
        <v>1.2517666296793799</v>
      </c>
      <c r="L328">
        <v>11558.1093777851</v>
      </c>
      <c r="M328">
        <v>250</v>
      </c>
      <c r="O328">
        <v>46.229472543057099</v>
      </c>
      <c r="P328">
        <v>0.337793234391074</v>
      </c>
      <c r="Q328">
        <v>1.24985608323754</v>
      </c>
      <c r="R328">
        <v>0.403656448861474</v>
      </c>
      <c r="S328" t="s">
        <v>1654</v>
      </c>
      <c r="T328" t="s">
        <v>2650</v>
      </c>
      <c r="U328" t="s">
        <v>2650</v>
      </c>
      <c r="V328" t="s">
        <v>2650</v>
      </c>
      <c r="W328" t="s">
        <v>2978</v>
      </c>
      <c r="X328">
        <v>2</v>
      </c>
      <c r="Y328" t="s">
        <v>4297</v>
      </c>
      <c r="Z328" t="s">
        <v>5608</v>
      </c>
      <c r="AA328">
        <v>1.1979287297605949</v>
      </c>
      <c r="AB328" t="str">
        <f>HYPERLINK("Melting_Curves/meltCurve_P09871_C1S.pdf", "Melting_Curves/meltCurve_P09871_C1S.pdf")</f>
        <v>Melting_Curves/meltCurve_P09871_C1S.pdf</v>
      </c>
    </row>
    <row r="329" spans="1:28" x14ac:dyDescent="0.25">
      <c r="A329" t="s">
        <v>333</v>
      </c>
      <c r="B329">
        <v>1</v>
      </c>
      <c r="C329">
        <v>0.78975434915639497</v>
      </c>
      <c r="D329">
        <v>1.2033394527493699</v>
      </c>
      <c r="E329">
        <v>1.47202552670688</v>
      </c>
      <c r="F329">
        <v>1.0425299414284499</v>
      </c>
      <c r="G329">
        <v>1.1054287962234499</v>
      </c>
      <c r="H329">
        <v>1.11106740099659</v>
      </c>
      <c r="I329">
        <v>1.15215490864586</v>
      </c>
      <c r="J329">
        <v>0.77078415945449796</v>
      </c>
      <c r="K329">
        <v>1.11272838534837</v>
      </c>
      <c r="L329">
        <v>11121.381316017199</v>
      </c>
      <c r="M329">
        <v>250</v>
      </c>
      <c r="O329">
        <v>44.482678848417798</v>
      </c>
      <c r="P329">
        <v>0.170369788337845</v>
      </c>
      <c r="Q329">
        <v>1.1212560721504401</v>
      </c>
      <c r="R329">
        <v>0.164390021889085</v>
      </c>
      <c r="S329" t="s">
        <v>1655</v>
      </c>
      <c r="T329" t="s">
        <v>2650</v>
      </c>
      <c r="U329" t="s">
        <v>2650</v>
      </c>
      <c r="V329" t="s">
        <v>2650</v>
      </c>
      <c r="W329" t="s">
        <v>2979</v>
      </c>
      <c r="X329">
        <v>2</v>
      </c>
      <c r="Y329" t="s">
        <v>4298</v>
      </c>
      <c r="Z329" t="s">
        <v>5609</v>
      </c>
      <c r="AA329">
        <v>1.1031166996834989</v>
      </c>
      <c r="AB329" t="str">
        <f>HYPERLINK("Melting_Curves/meltCurve_P09958_FURIN.pdf", "Melting_Curves/meltCurve_P09958_FURIN.pdf")</f>
        <v>Melting_Curves/meltCurve_P09958_FURIN.pdf</v>
      </c>
    </row>
    <row r="330" spans="1:28" x14ac:dyDescent="0.25">
      <c r="A330" t="s">
        <v>334</v>
      </c>
      <c r="B330">
        <v>1</v>
      </c>
      <c r="C330">
        <v>0.74738830851300297</v>
      </c>
      <c r="D330">
        <v>1.1724549899977801</v>
      </c>
      <c r="E330">
        <v>1.40047788397422</v>
      </c>
      <c r="F330">
        <v>1.08815847966215</v>
      </c>
      <c r="G330">
        <v>1.1272782840631299</v>
      </c>
      <c r="H330">
        <v>1.1502556123583001</v>
      </c>
      <c r="I330">
        <v>1.3950044454323201</v>
      </c>
      <c r="J330">
        <v>0.84488219604356496</v>
      </c>
      <c r="K330">
        <v>1.0889086463658599</v>
      </c>
      <c r="L330">
        <v>11164.5895550448</v>
      </c>
      <c r="M330">
        <v>250</v>
      </c>
      <c r="O330">
        <v>44.655501954960101</v>
      </c>
      <c r="P330">
        <v>0.221754437963228</v>
      </c>
      <c r="Q330">
        <v>1.1584408860422599</v>
      </c>
      <c r="R330">
        <v>0.25371188729192101</v>
      </c>
      <c r="S330" t="s">
        <v>1656</v>
      </c>
      <c r="T330" t="s">
        <v>2650</v>
      </c>
      <c r="U330" t="s">
        <v>2650</v>
      </c>
      <c r="V330" t="s">
        <v>2650</v>
      </c>
      <c r="W330" t="s">
        <v>2980</v>
      </c>
      <c r="X330">
        <v>3</v>
      </c>
      <c r="Y330" t="s">
        <v>4299</v>
      </c>
      <c r="Z330" t="s">
        <v>5610</v>
      </c>
      <c r="AA330">
        <v>1.133825988151355</v>
      </c>
      <c r="AB330" t="str">
        <f>HYPERLINK("Melting_Curves/meltCurve_P09960_2_LTA4H.pdf", "Melting_Curves/meltCurve_P09960_2_LTA4H.pdf")</f>
        <v>Melting_Curves/meltCurve_P09960_2_LTA4H.pdf</v>
      </c>
    </row>
    <row r="331" spans="1:28" x14ac:dyDescent="0.25">
      <c r="A331" t="s">
        <v>335</v>
      </c>
      <c r="B331">
        <v>1</v>
      </c>
      <c r="C331">
        <v>0.74694140373470697</v>
      </c>
      <c r="D331">
        <v>1.3963671214004401</v>
      </c>
      <c r="E331">
        <v>1.86405906048309</v>
      </c>
      <c r="F331">
        <v>1.3865286991419501</v>
      </c>
      <c r="G331">
        <v>1.6069423022207601</v>
      </c>
      <c r="H331">
        <v>1.46679345303164</v>
      </c>
      <c r="I331">
        <v>1.7009838422258501</v>
      </c>
      <c r="J331">
        <v>0.99255754054418299</v>
      </c>
      <c r="K331">
        <v>1.48700938917923</v>
      </c>
      <c r="L331">
        <v>11438.291689096401</v>
      </c>
      <c r="M331">
        <v>250</v>
      </c>
      <c r="O331">
        <v>45.750238879703801</v>
      </c>
      <c r="P331">
        <v>0.68305654390523396</v>
      </c>
      <c r="Q331">
        <v>1.5</v>
      </c>
      <c r="R331">
        <v>0.52770089720700097</v>
      </c>
      <c r="S331" t="s">
        <v>1657</v>
      </c>
      <c r="T331" t="s">
        <v>2650</v>
      </c>
      <c r="U331" t="s">
        <v>2650</v>
      </c>
      <c r="V331" t="s">
        <v>2650</v>
      </c>
      <c r="W331" t="s">
        <v>2981</v>
      </c>
      <c r="X331">
        <v>5</v>
      </c>
      <c r="Y331" t="s">
        <v>4300</v>
      </c>
      <c r="Z331" t="s">
        <v>5611</v>
      </c>
      <c r="AA331">
        <v>1.4040737393457789</v>
      </c>
      <c r="AB331" t="str">
        <f>HYPERLINK("Melting_Curves/meltCurve_P09972_ALDOC.pdf", "Melting_Curves/meltCurve_P09972_ALDOC.pdf")</f>
        <v>Melting_Curves/meltCurve_P09972_ALDOC.pdf</v>
      </c>
    </row>
    <row r="332" spans="1:28" x14ac:dyDescent="0.25">
      <c r="A332" t="s">
        <v>336</v>
      </c>
      <c r="B332">
        <v>1</v>
      </c>
      <c r="C332">
        <v>0.86378100749948805</v>
      </c>
      <c r="D332">
        <v>1.21943912015929</v>
      </c>
      <c r="E332">
        <v>1.5582931685803101</v>
      </c>
      <c r="F332">
        <v>1.4541749632469201</v>
      </c>
      <c r="G332">
        <v>1.5688259486015199</v>
      </c>
      <c r="H332">
        <v>1.3388912667249799</v>
      </c>
      <c r="I332">
        <v>1.65176693898059</v>
      </c>
      <c r="J332">
        <v>1.2588346949029501</v>
      </c>
      <c r="K332">
        <v>1.5406330833503901</v>
      </c>
      <c r="L332">
        <v>11508.188160399901</v>
      </c>
      <c r="M332">
        <v>250</v>
      </c>
      <c r="O332">
        <v>46.029806603835397</v>
      </c>
      <c r="P332">
        <v>0.65396678732177604</v>
      </c>
      <c r="Q332">
        <v>1.4816314379514199</v>
      </c>
      <c r="R332">
        <v>0.77965242469813001</v>
      </c>
      <c r="S332" t="s">
        <v>1658</v>
      </c>
      <c r="T332" t="s">
        <v>2650</v>
      </c>
      <c r="U332" t="s">
        <v>2650</v>
      </c>
      <c r="V332" t="s">
        <v>2650</v>
      </c>
      <c r="W332" t="s">
        <v>2982</v>
      </c>
      <c r="X332">
        <v>32</v>
      </c>
      <c r="Y332" t="s">
        <v>4301</v>
      </c>
      <c r="Z332" t="s">
        <v>5612</v>
      </c>
      <c r="AA332">
        <v>1.3847404175199249</v>
      </c>
      <c r="AB332" t="str">
        <f>HYPERLINK("Melting_Curves/meltCurve_P0C0L4_2_C4A.pdf", "Melting_Curves/meltCurve_P0C0L4_2_C4A.pdf")</f>
        <v>Melting_Curves/meltCurve_P0C0L4_2_C4A.pdf</v>
      </c>
    </row>
    <row r="333" spans="1:28" x14ac:dyDescent="0.25">
      <c r="A333" t="s">
        <v>337</v>
      </c>
      <c r="B333">
        <v>1</v>
      </c>
      <c r="C333">
        <v>0.91188078277245599</v>
      </c>
      <c r="D333">
        <v>1.0302792106771499</v>
      </c>
      <c r="E333">
        <v>1.21313354622124</v>
      </c>
      <c r="F333">
        <v>1.2558912634078401</v>
      </c>
      <c r="G333">
        <v>0.79672480144108704</v>
      </c>
      <c r="H333">
        <v>0.97650045033980204</v>
      </c>
      <c r="I333">
        <v>1.07306967984934</v>
      </c>
      <c r="J333">
        <v>0.568901989683125</v>
      </c>
      <c r="K333">
        <v>0.79877180054040797</v>
      </c>
      <c r="L333">
        <v>15000</v>
      </c>
      <c r="M333">
        <v>229.34757813942801</v>
      </c>
      <c r="O333">
        <v>65.397950158671406</v>
      </c>
      <c r="P333">
        <v>-0.27734716152029898</v>
      </c>
      <c r="Q333">
        <v>0.68366034605140102</v>
      </c>
      <c r="R333">
        <v>0.48868572090383799</v>
      </c>
      <c r="S333" t="s">
        <v>1659</v>
      </c>
      <c r="T333" t="s">
        <v>2650</v>
      </c>
      <c r="U333" t="s">
        <v>2650</v>
      </c>
      <c r="V333" t="s">
        <v>2650</v>
      </c>
      <c r="W333" t="s">
        <v>2983</v>
      </c>
      <c r="X333">
        <v>1</v>
      </c>
      <c r="Y333" t="s">
        <v>4302</v>
      </c>
      <c r="Z333" t="s">
        <v>5613</v>
      </c>
      <c r="AA333">
        <v>0.951568461106301</v>
      </c>
      <c r="AB333" t="str">
        <f>HYPERLINK("Melting_Curves/meltCurve_P0C5U4_NS.pdf", "Melting_Curves/meltCurve_P0C5U4_NS.pdf")</f>
        <v>Melting_Curves/meltCurve_P0C5U4_NS.pdf</v>
      </c>
    </row>
    <row r="334" spans="1:28" x14ac:dyDescent="0.25">
      <c r="A334" t="s">
        <v>338</v>
      </c>
      <c r="B334">
        <v>1</v>
      </c>
      <c r="C334">
        <v>0.78897648055247904</v>
      </c>
      <c r="D334">
        <v>1.1764284318196601</v>
      </c>
      <c r="E334">
        <v>1.50908853997003</v>
      </c>
      <c r="F334">
        <v>1.35272656199101</v>
      </c>
      <c r="G334">
        <v>1.0395465502638599</v>
      </c>
      <c r="H334">
        <v>0.976871457423936</v>
      </c>
      <c r="I334">
        <v>1.3118769952439899</v>
      </c>
      <c r="J334">
        <v>0.71288031793602202</v>
      </c>
      <c r="K334">
        <v>1.0498403804808101</v>
      </c>
      <c r="L334">
        <v>1455.4157473462501</v>
      </c>
      <c r="M334">
        <v>20.989576388048</v>
      </c>
      <c r="O334">
        <v>68.719738185664895</v>
      </c>
      <c r="P334">
        <v>-3.3795566288035701E-3</v>
      </c>
      <c r="Q334">
        <v>0.95574260569043001</v>
      </c>
      <c r="R334">
        <v>-0.14915284285180999</v>
      </c>
      <c r="S334" t="s">
        <v>1660</v>
      </c>
      <c r="T334" t="s">
        <v>2650</v>
      </c>
      <c r="U334" t="s">
        <v>2650</v>
      </c>
      <c r="V334" t="s">
        <v>2650</v>
      </c>
      <c r="W334" t="s">
        <v>2984</v>
      </c>
      <c r="X334">
        <v>1</v>
      </c>
      <c r="Y334" t="s">
        <v>4303</v>
      </c>
      <c r="Z334" t="s">
        <v>5614</v>
      </c>
      <c r="AA334">
        <v>0.99644269772380878</v>
      </c>
      <c r="AB334" t="str">
        <f>HYPERLINK("Melting_Curves/meltCurve_P0DMQ5_INAFM2.pdf", "Melting_Curves/meltCurve_P0DMQ5_INAFM2.pdf")</f>
        <v>Melting_Curves/meltCurve_P0DMQ5_INAFM2.pdf</v>
      </c>
    </row>
    <row r="335" spans="1:28" x14ac:dyDescent="0.25">
      <c r="A335" t="s">
        <v>339</v>
      </c>
      <c r="B335">
        <v>1</v>
      </c>
      <c r="C335">
        <v>0.78851712358763204</v>
      </c>
      <c r="D335">
        <v>1.0957344311115</v>
      </c>
      <c r="E335">
        <v>1.24853288955067</v>
      </c>
      <c r="F335">
        <v>0.96842427958307797</v>
      </c>
      <c r="G335">
        <v>1.2840063063852101</v>
      </c>
      <c r="H335">
        <v>1.1680388893754901</v>
      </c>
      <c r="I335">
        <v>1.47205920995007</v>
      </c>
      <c r="J335">
        <v>1.1751335727423999</v>
      </c>
      <c r="K335">
        <v>1.5741876149601499</v>
      </c>
      <c r="L335">
        <v>589.56664678880099</v>
      </c>
      <c r="M335">
        <v>9.9493056774543298</v>
      </c>
      <c r="O335">
        <v>57.012273861326001</v>
      </c>
      <c r="P335">
        <v>2.1824773617747099E-2</v>
      </c>
      <c r="Q335">
        <v>1.5</v>
      </c>
      <c r="R335">
        <v>0.56231196358385904</v>
      </c>
      <c r="S335" t="s">
        <v>1661</v>
      </c>
      <c r="T335" t="s">
        <v>2650</v>
      </c>
      <c r="U335" t="s">
        <v>2650</v>
      </c>
      <c r="V335" t="s">
        <v>2650</v>
      </c>
      <c r="W335" t="s">
        <v>2985</v>
      </c>
      <c r="X335">
        <v>19</v>
      </c>
      <c r="Y335" t="s">
        <v>4304</v>
      </c>
      <c r="Z335" t="s">
        <v>5615</v>
      </c>
      <c r="AA335">
        <v>1.1783714893407811</v>
      </c>
      <c r="AB335" t="str">
        <f>HYPERLINK("Melting_Curves/meltCurve_P0DMV9_HSPA1B.pdf", "Melting_Curves/meltCurve_P0DMV9_HSPA1B.pdf")</f>
        <v>Melting_Curves/meltCurve_P0DMV9_HSPA1B.pdf</v>
      </c>
    </row>
    <row r="336" spans="1:28" x14ac:dyDescent="0.25">
      <c r="A336" t="s">
        <v>340</v>
      </c>
      <c r="B336">
        <v>1</v>
      </c>
      <c r="C336">
        <v>0.97567609574137404</v>
      </c>
      <c r="D336">
        <v>1.3630711843332299</v>
      </c>
      <c r="E336">
        <v>1.6415526888405301</v>
      </c>
      <c r="F336">
        <v>1.24794062791421</v>
      </c>
      <c r="G336">
        <v>1.4728784581908601</v>
      </c>
      <c r="H336">
        <v>1.0976841778054101</v>
      </c>
      <c r="I336">
        <v>1.43262356232515</v>
      </c>
      <c r="J336">
        <v>1.01542586260491</v>
      </c>
      <c r="K336">
        <v>1.4595119676717401</v>
      </c>
      <c r="L336">
        <v>11102.995245415201</v>
      </c>
      <c r="M336">
        <v>250</v>
      </c>
      <c r="O336">
        <v>44.409138919853199</v>
      </c>
      <c r="P336">
        <v>0.48039484715737901</v>
      </c>
      <c r="Q336">
        <v>1.34134274358068</v>
      </c>
      <c r="R336">
        <v>0.395519809046672</v>
      </c>
      <c r="S336" t="s">
        <v>1662</v>
      </c>
      <c r="T336" t="s">
        <v>2650</v>
      </c>
      <c r="U336" t="s">
        <v>2650</v>
      </c>
      <c r="V336" t="s">
        <v>2650</v>
      </c>
      <c r="W336" t="s">
        <v>2986</v>
      </c>
      <c r="X336">
        <v>8</v>
      </c>
      <c r="Z336" t="s">
        <v>5616</v>
      </c>
      <c r="AA336">
        <v>1.291116215433203</v>
      </c>
      <c r="AB336" t="str">
        <f>HYPERLINK("Melting_Curves/meltCurve_P0DOX2_.pdf", "Melting_Curves/meltCurve_P0DOX2_.pdf")</f>
        <v>Melting_Curves/meltCurve_P0DOX2_.pdf</v>
      </c>
    </row>
    <row r="337" spans="1:28" x14ac:dyDescent="0.25">
      <c r="A337" t="s">
        <v>341</v>
      </c>
      <c r="B337">
        <v>1</v>
      </c>
      <c r="C337">
        <v>1.19273207004078</v>
      </c>
      <c r="D337">
        <v>1.42664907651715</v>
      </c>
      <c r="E337">
        <v>1.60889901655073</v>
      </c>
      <c r="F337">
        <v>1.7112736867354299</v>
      </c>
      <c r="G337">
        <v>2.0121851763012701</v>
      </c>
      <c r="H337">
        <v>1.4786999280402999</v>
      </c>
      <c r="I337">
        <v>1.88699928040297</v>
      </c>
      <c r="J337">
        <v>1.7216118973374901</v>
      </c>
      <c r="K337">
        <v>1.86066202926361</v>
      </c>
      <c r="L337">
        <v>1757.70385722267</v>
      </c>
      <c r="M337">
        <v>40.438428264189803</v>
      </c>
      <c r="O337">
        <v>43.360295323351799</v>
      </c>
      <c r="P337">
        <v>0.116577034706563</v>
      </c>
      <c r="Q337">
        <v>1.5</v>
      </c>
      <c r="R337">
        <v>0.29138220042195601</v>
      </c>
      <c r="S337" t="s">
        <v>1663</v>
      </c>
      <c r="T337" t="s">
        <v>2650</v>
      </c>
      <c r="U337" t="s">
        <v>2650</v>
      </c>
      <c r="V337" t="s">
        <v>2650</v>
      </c>
      <c r="W337" t="s">
        <v>2987</v>
      </c>
      <c r="X337">
        <v>12</v>
      </c>
      <c r="Z337" t="s">
        <v>5617</v>
      </c>
      <c r="AA337">
        <v>1.4403302186224041</v>
      </c>
      <c r="AB337" t="str">
        <f>HYPERLINK("Melting_Curves/meltCurve_P0DOX5_.pdf", "Melting_Curves/meltCurve_P0DOX5_.pdf")</f>
        <v>Melting_Curves/meltCurve_P0DOX5_.pdf</v>
      </c>
    </row>
    <row r="338" spans="1:28" x14ac:dyDescent="0.25">
      <c r="A338" t="s">
        <v>342</v>
      </c>
      <c r="B338">
        <v>1</v>
      </c>
      <c r="C338">
        <v>0.79182772893647602</v>
      </c>
      <c r="D338">
        <v>1.16272705504054</v>
      </c>
      <c r="E338">
        <v>1.6720658160298301</v>
      </c>
      <c r="F338">
        <v>1.3250778230082401</v>
      </c>
      <c r="G338">
        <v>1.36534053980091</v>
      </c>
      <c r="H338">
        <v>1.0635925153080401</v>
      </c>
      <c r="I338">
        <v>1.68292682926829</v>
      </c>
      <c r="J338">
        <v>1.2653679061334799</v>
      </c>
      <c r="K338">
        <v>1.46324359456778</v>
      </c>
      <c r="L338">
        <v>11518.3784491306</v>
      </c>
      <c r="M338">
        <v>250</v>
      </c>
      <c r="O338">
        <v>46.070571622554098</v>
      </c>
      <c r="P338">
        <v>0.54993569635217998</v>
      </c>
      <c r="Q338">
        <v>1.4053735750492899</v>
      </c>
      <c r="R338">
        <v>0.53926999537778098</v>
      </c>
      <c r="S338" t="s">
        <v>1664</v>
      </c>
      <c r="T338" t="s">
        <v>2650</v>
      </c>
      <c r="U338" t="s">
        <v>2650</v>
      </c>
      <c r="V338" t="s">
        <v>2650</v>
      </c>
      <c r="W338" t="s">
        <v>2988</v>
      </c>
      <c r="X338">
        <v>6</v>
      </c>
      <c r="Z338" t="s">
        <v>5618</v>
      </c>
      <c r="AA338">
        <v>1.3232727305377761</v>
      </c>
      <c r="AB338" t="str">
        <f>HYPERLINK("Melting_Curves/meltCurve_P0DOX7_.pdf", "Melting_Curves/meltCurve_P0DOX7_.pdf")</f>
        <v>Melting_Curves/meltCurve_P0DOX7_.pdf</v>
      </c>
    </row>
    <row r="339" spans="1:28" x14ac:dyDescent="0.25">
      <c r="A339" t="s">
        <v>343</v>
      </c>
      <c r="B339">
        <v>1</v>
      </c>
      <c r="C339">
        <v>1.3006326913717601</v>
      </c>
      <c r="D339">
        <v>1.3328582354168099</v>
      </c>
      <c r="E339">
        <v>1.28968226378363</v>
      </c>
      <c r="F339">
        <v>2.5014600570117498</v>
      </c>
      <c r="G339">
        <v>2.7929847736911602</v>
      </c>
      <c r="H339">
        <v>1.83247583953278</v>
      </c>
      <c r="I339">
        <v>2.6435375095598999</v>
      </c>
      <c r="J339">
        <v>2.9406938747132001</v>
      </c>
      <c r="K339">
        <v>2.6826461795174898</v>
      </c>
      <c r="L339">
        <v>1297.1847855793701</v>
      </c>
      <c r="M339">
        <v>30.189594585535701</v>
      </c>
      <c r="O339">
        <v>42.780751794942503</v>
      </c>
      <c r="P339">
        <v>8.8210813357565199E-2</v>
      </c>
      <c r="Q339">
        <v>1.5</v>
      </c>
      <c r="R339">
        <v>-0.49540068999696801</v>
      </c>
      <c r="S339" t="s">
        <v>1665</v>
      </c>
      <c r="T339" t="s">
        <v>2650</v>
      </c>
      <c r="U339" t="s">
        <v>2650</v>
      </c>
      <c r="V339" t="s">
        <v>2650</v>
      </c>
      <c r="W339" t="s">
        <v>2989</v>
      </c>
      <c r="X339">
        <v>6</v>
      </c>
      <c r="Z339" t="s">
        <v>5619</v>
      </c>
      <c r="AA339">
        <v>1.4459502087929139</v>
      </c>
      <c r="AB339" t="str">
        <f>HYPERLINK("Melting_Curves/meltCurve_P0DOX8_.pdf", "Melting_Curves/meltCurve_P0DOX8_.pdf")</f>
        <v>Melting_Curves/meltCurve_P0DOX8_.pdf</v>
      </c>
    </row>
    <row r="340" spans="1:28" x14ac:dyDescent="0.25">
      <c r="A340" t="s">
        <v>344</v>
      </c>
      <c r="B340">
        <v>1</v>
      </c>
      <c r="C340">
        <v>0.77906976744186096</v>
      </c>
      <c r="D340">
        <v>1.02247191011236</v>
      </c>
      <c r="E340">
        <v>1.16377057747583</v>
      </c>
      <c r="F340">
        <v>1.0376600470342301</v>
      </c>
      <c r="G340">
        <v>1.19294922045118</v>
      </c>
      <c r="H340">
        <v>0.93898615103214</v>
      </c>
      <c r="I340">
        <v>1.0913683477049001</v>
      </c>
      <c r="J340">
        <v>0.88902316871352705</v>
      </c>
      <c r="K340">
        <v>1.0151119240484301</v>
      </c>
      <c r="L340">
        <v>1389.6179298342399</v>
      </c>
      <c r="M340">
        <v>20.512444509847899</v>
      </c>
      <c r="O340">
        <v>67.111110247998496</v>
      </c>
      <c r="P340">
        <v>-2.0831364536164098E-3</v>
      </c>
      <c r="Q340">
        <v>0.97273899055546298</v>
      </c>
      <c r="R340">
        <v>-8.3330858745989094E-3</v>
      </c>
      <c r="S340" t="s">
        <v>1666</v>
      </c>
      <c r="T340" t="s">
        <v>2650</v>
      </c>
      <c r="U340" t="s">
        <v>2650</v>
      </c>
      <c r="V340" t="s">
        <v>2650</v>
      </c>
      <c r="W340" t="s">
        <v>2990</v>
      </c>
      <c r="X340">
        <v>7</v>
      </c>
      <c r="Y340" t="s">
        <v>4305</v>
      </c>
      <c r="Z340" t="s">
        <v>5620</v>
      </c>
      <c r="AA340">
        <v>0.99693570011995181</v>
      </c>
      <c r="AB340" t="str">
        <f>HYPERLINK("Melting_Curves/meltCurve_P0DOY3_IGLC3.pdf", "Melting_Curves/meltCurve_P0DOY3_IGLC3.pdf")</f>
        <v>Melting_Curves/meltCurve_P0DOY3_IGLC3.pdf</v>
      </c>
    </row>
    <row r="341" spans="1:28" x14ac:dyDescent="0.25">
      <c r="A341" t="s">
        <v>345</v>
      </c>
      <c r="B341">
        <v>1</v>
      </c>
      <c r="C341">
        <v>1.00133942902687</v>
      </c>
      <c r="D341">
        <v>1.3059986495013101</v>
      </c>
      <c r="E341">
        <v>1.4273221382157899</v>
      </c>
      <c r="F341">
        <v>1.37717657216866</v>
      </c>
      <c r="G341">
        <v>1.34817405935552</v>
      </c>
      <c r="H341">
        <v>1.4391666758913799</v>
      </c>
      <c r="I341">
        <v>1.66930493596201</v>
      </c>
      <c r="J341">
        <v>1.1892137219522501</v>
      </c>
      <c r="K341">
        <v>1.4831132315662501</v>
      </c>
      <c r="L341">
        <v>4628.7607791023802</v>
      </c>
      <c r="M341">
        <v>101.620888202055</v>
      </c>
      <c r="O341">
        <v>45.531667684616401</v>
      </c>
      <c r="P341">
        <v>0.23382960442960399</v>
      </c>
      <c r="Q341">
        <v>1.41907338860161</v>
      </c>
      <c r="R341">
        <v>0.68256951435078805</v>
      </c>
      <c r="S341" t="s">
        <v>1667</v>
      </c>
      <c r="T341" t="s">
        <v>2650</v>
      </c>
      <c r="U341" t="s">
        <v>2650</v>
      </c>
      <c r="V341" t="s">
        <v>2650</v>
      </c>
      <c r="W341" t="s">
        <v>2991</v>
      </c>
      <c r="X341">
        <v>1</v>
      </c>
      <c r="Y341" t="s">
        <v>4306</v>
      </c>
      <c r="Z341" t="s">
        <v>5621</v>
      </c>
      <c r="AA341">
        <v>1.341351547401596</v>
      </c>
      <c r="AB341" t="str">
        <f>HYPERLINK("Melting_Curves/meltCurve_P0DP09_IGKV1_13.pdf", "Melting_Curves/meltCurve_P0DP09_IGKV1_13.pdf")</f>
        <v>Melting_Curves/meltCurve_P0DP09_IGKV1_13.pdf</v>
      </c>
    </row>
    <row r="342" spans="1:28" x14ac:dyDescent="0.25">
      <c r="A342" t="s">
        <v>346</v>
      </c>
      <c r="B342">
        <v>1</v>
      </c>
      <c r="C342">
        <v>0.73049372538243096</v>
      </c>
      <c r="D342">
        <v>1.1521480260144701</v>
      </c>
      <c r="E342">
        <v>1.2836859943207799</v>
      </c>
      <c r="F342">
        <v>0.93899422918384201</v>
      </c>
      <c r="G342">
        <v>0.93075020610057702</v>
      </c>
      <c r="H342">
        <v>0.888339287350005</v>
      </c>
      <c r="I342">
        <v>1.0235412659155401</v>
      </c>
      <c r="J342">
        <v>0.59242465878904504</v>
      </c>
      <c r="K342">
        <v>0.88482183750114496</v>
      </c>
      <c r="L342">
        <v>15000</v>
      </c>
      <c r="M342">
        <v>229.98896241090401</v>
      </c>
      <c r="O342">
        <v>65.215589738731893</v>
      </c>
      <c r="P342">
        <v>-0.23040960315950901</v>
      </c>
      <c r="Q342">
        <v>0.73866053454196401</v>
      </c>
      <c r="R342">
        <v>0.30006169911382702</v>
      </c>
      <c r="S342" t="s">
        <v>1668</v>
      </c>
      <c r="T342" t="s">
        <v>2650</v>
      </c>
      <c r="U342" t="s">
        <v>2650</v>
      </c>
      <c r="V342" t="s">
        <v>2650</v>
      </c>
      <c r="W342" t="s">
        <v>2992</v>
      </c>
      <c r="X342">
        <v>4</v>
      </c>
      <c r="Y342" t="s">
        <v>4307</v>
      </c>
      <c r="Z342" t="s">
        <v>5622</v>
      </c>
      <c r="AA342">
        <v>0.95839979825655552</v>
      </c>
      <c r="AB342" t="str">
        <f>HYPERLINK("Melting_Curves/meltCurve_P0DP25_CALM3.pdf", "Melting_Curves/meltCurve_P0DP25_CALM3.pdf")</f>
        <v>Melting_Curves/meltCurve_P0DP25_CALM3.pdf</v>
      </c>
    </row>
    <row r="343" spans="1:28" x14ac:dyDescent="0.25">
      <c r="A343" t="s">
        <v>347</v>
      </c>
      <c r="B343">
        <v>1</v>
      </c>
      <c r="C343">
        <v>0.74738154613466301</v>
      </c>
      <c r="D343">
        <v>1.03401496259352</v>
      </c>
      <c r="E343">
        <v>1.34563591022444</v>
      </c>
      <c r="F343">
        <v>0.96075810473815504</v>
      </c>
      <c r="G343">
        <v>1.04608478802993</v>
      </c>
      <c r="H343">
        <v>1.0780049875311699</v>
      </c>
      <c r="I343">
        <v>1.0429925187032401</v>
      </c>
      <c r="J343">
        <v>0.74967581047381504</v>
      </c>
      <c r="K343">
        <v>1.0331172069825401</v>
      </c>
      <c r="L343">
        <v>1639.1115579866701</v>
      </c>
      <c r="M343">
        <v>25.1130572445181</v>
      </c>
      <c r="O343">
        <v>64.859647978913102</v>
      </c>
      <c r="P343">
        <v>-7.8740967488586597E-3</v>
      </c>
      <c r="Q343">
        <v>0.91865516094312205</v>
      </c>
      <c r="R343">
        <v>3.3380264359279203E-2</v>
      </c>
      <c r="S343" t="s">
        <v>1669</v>
      </c>
      <c r="T343" t="s">
        <v>2650</v>
      </c>
      <c r="U343" t="s">
        <v>2650</v>
      </c>
      <c r="V343" t="s">
        <v>2650</v>
      </c>
      <c r="W343" t="s">
        <v>2993</v>
      </c>
      <c r="X343">
        <v>1</v>
      </c>
      <c r="Y343" t="s">
        <v>4308</v>
      </c>
      <c r="Z343" t="s">
        <v>5623</v>
      </c>
      <c r="AA343">
        <v>0.98661276858070102</v>
      </c>
      <c r="AB343" t="str">
        <f>HYPERLINK("Melting_Curves/meltCurve_P0DP57_SLURP2.pdf", "Melting_Curves/meltCurve_P0DP57_SLURP2.pdf")</f>
        <v>Melting_Curves/meltCurve_P0DP57_SLURP2.pdf</v>
      </c>
    </row>
    <row r="344" spans="1:28" x14ac:dyDescent="0.25">
      <c r="A344" t="s">
        <v>348</v>
      </c>
      <c r="B344">
        <v>1</v>
      </c>
      <c r="C344">
        <v>0.91802736257570705</v>
      </c>
      <c r="D344">
        <v>1.3686323028009999</v>
      </c>
      <c r="E344">
        <v>2.16095294269972</v>
      </c>
      <c r="F344">
        <v>1.8864640128900501</v>
      </c>
      <c r="G344">
        <v>2.3341629382399902</v>
      </c>
      <c r="H344">
        <v>2.17850412164981</v>
      </c>
      <c r="I344">
        <v>3.0054236020198202</v>
      </c>
      <c r="J344">
        <v>1.9975255714922799</v>
      </c>
      <c r="K344">
        <v>2.80142711225561</v>
      </c>
      <c r="L344">
        <v>11452.537233992</v>
      </c>
      <c r="M344">
        <v>250</v>
      </c>
      <c r="O344">
        <v>45.807217185358397</v>
      </c>
      <c r="P344">
        <v>0.68220690574503795</v>
      </c>
      <c r="Q344">
        <v>1.5</v>
      </c>
      <c r="R344">
        <v>-0.35606647175325801</v>
      </c>
      <c r="S344" t="s">
        <v>1670</v>
      </c>
      <c r="T344" t="s">
        <v>2650</v>
      </c>
      <c r="U344" t="s">
        <v>2650</v>
      </c>
      <c r="V344" t="s">
        <v>2650</v>
      </c>
      <c r="W344" t="s">
        <v>2994</v>
      </c>
      <c r="X344">
        <v>10</v>
      </c>
      <c r="Y344" t="s">
        <v>4309</v>
      </c>
      <c r="Z344" t="s">
        <v>5624</v>
      </c>
      <c r="AA344">
        <v>1.4031239863513241</v>
      </c>
      <c r="AB344" t="str">
        <f>HYPERLINK("Melting_Curves/meltCurve_P10253_GAA.pdf", "Melting_Curves/meltCurve_P10253_GAA.pdf")</f>
        <v>Melting_Curves/meltCurve_P10253_GAA.pdf</v>
      </c>
    </row>
    <row r="345" spans="1:28" x14ac:dyDescent="0.25">
      <c r="A345" t="s">
        <v>349</v>
      </c>
      <c r="B345">
        <v>1</v>
      </c>
      <c r="C345">
        <v>0.82632909771788898</v>
      </c>
      <c r="D345">
        <v>0.94251512338763899</v>
      </c>
      <c r="E345">
        <v>1.0320711839451999</v>
      </c>
      <c r="F345">
        <v>0.888807092788785</v>
      </c>
      <c r="G345">
        <v>1.03920878276734</v>
      </c>
      <c r="H345">
        <v>0.80594053067887195</v>
      </c>
      <c r="I345">
        <v>0.84553339948148398</v>
      </c>
      <c r="J345">
        <v>0.78696027910251898</v>
      </c>
      <c r="K345">
        <v>0.80853311141695705</v>
      </c>
      <c r="L345">
        <v>265.24163783952798</v>
      </c>
      <c r="M345">
        <v>2.4386928303518101</v>
      </c>
      <c r="Q345">
        <v>0</v>
      </c>
      <c r="R345">
        <v>0.346692193886805</v>
      </c>
      <c r="S345" t="s">
        <v>1671</v>
      </c>
      <c r="T345" t="s">
        <v>2650</v>
      </c>
      <c r="U345" t="s">
        <v>2650</v>
      </c>
      <c r="V345" t="s">
        <v>2650</v>
      </c>
      <c r="W345" t="s">
        <v>2995</v>
      </c>
      <c r="X345">
        <v>3</v>
      </c>
      <c r="Y345" t="s">
        <v>4310</v>
      </c>
      <c r="Z345" t="s">
        <v>5625</v>
      </c>
      <c r="AA345">
        <v>0.90669434330548992</v>
      </c>
      <c r="AB345" t="str">
        <f>HYPERLINK("Melting_Curves/meltCurve_P10451_5_SPP1.pdf", "Melting_Curves/meltCurve_P10451_5_SPP1.pdf")</f>
        <v>Melting_Curves/meltCurve_P10451_5_SPP1.pdf</v>
      </c>
    </row>
    <row r="346" spans="1:28" x14ac:dyDescent="0.25">
      <c r="A346" t="s">
        <v>350</v>
      </c>
      <c r="B346">
        <v>1</v>
      </c>
      <c r="C346">
        <v>0.83608671925385702</v>
      </c>
      <c r="D346">
        <v>1.1522547998214001</v>
      </c>
      <c r="E346">
        <v>1.3845810388450699</v>
      </c>
      <c r="F346">
        <v>1.3076846752989</v>
      </c>
      <c r="G346">
        <v>1.4606836334772</v>
      </c>
      <c r="H346">
        <v>1.4664384581038801</v>
      </c>
      <c r="I346">
        <v>1.77432157563129</v>
      </c>
      <c r="J346">
        <v>1.2493922706752001</v>
      </c>
      <c r="K346">
        <v>1.61869325792529</v>
      </c>
      <c r="L346">
        <v>1060.7968611834201</v>
      </c>
      <c r="M346">
        <v>21.7534370652128</v>
      </c>
      <c r="O346">
        <v>48.358080727833404</v>
      </c>
      <c r="P346">
        <v>5.6231414797977802E-2</v>
      </c>
      <c r="Q346">
        <v>1.5</v>
      </c>
      <c r="R346">
        <v>0.70393323813176401</v>
      </c>
      <c r="S346" t="s">
        <v>1672</v>
      </c>
      <c r="T346" t="s">
        <v>2650</v>
      </c>
      <c r="U346" t="s">
        <v>2650</v>
      </c>
      <c r="V346" t="s">
        <v>2650</v>
      </c>
      <c r="W346" t="s">
        <v>2996</v>
      </c>
      <c r="X346">
        <v>13</v>
      </c>
      <c r="Y346" t="s">
        <v>4311</v>
      </c>
      <c r="Z346" t="s">
        <v>5626</v>
      </c>
      <c r="AA346">
        <v>1.3480199944388469</v>
      </c>
      <c r="AB346" t="str">
        <f>HYPERLINK("Melting_Curves/meltCurve_P10586_2_PTPRF.pdf", "Melting_Curves/meltCurve_P10586_2_PTPRF.pdf")</f>
        <v>Melting_Curves/meltCurve_P10586_2_PTPRF.pdf</v>
      </c>
    </row>
    <row r="347" spans="1:28" x14ac:dyDescent="0.25">
      <c r="A347" t="s">
        <v>351</v>
      </c>
      <c r="B347">
        <v>1</v>
      </c>
      <c r="C347">
        <v>0.93793974900203902</v>
      </c>
      <c r="D347">
        <v>1.11602194078286</v>
      </c>
      <c r="E347">
        <v>1.2181155050113399</v>
      </c>
      <c r="F347">
        <v>1.03538094827834</v>
      </c>
      <c r="G347">
        <v>1.1540449728611999</v>
      </c>
      <c r="H347">
        <v>1.02501364119353</v>
      </c>
      <c r="I347">
        <v>1.10568335200023</v>
      </c>
      <c r="J347">
        <v>0.85215818040837399</v>
      </c>
      <c r="K347">
        <v>1.03262399126964</v>
      </c>
      <c r="L347">
        <v>11105.9641650837</v>
      </c>
      <c r="M347">
        <v>250</v>
      </c>
      <c r="O347">
        <v>44.421013843965099</v>
      </c>
      <c r="P347">
        <v>9.4812729644480204E-2</v>
      </c>
      <c r="Q347">
        <v>1.06738684111499</v>
      </c>
      <c r="R347">
        <v>0.13322948187045999</v>
      </c>
      <c r="S347" t="s">
        <v>1673</v>
      </c>
      <c r="T347" t="s">
        <v>2650</v>
      </c>
      <c r="U347" t="s">
        <v>2650</v>
      </c>
      <c r="V347" t="s">
        <v>2650</v>
      </c>
      <c r="W347" t="s">
        <v>2997</v>
      </c>
      <c r="X347">
        <v>8</v>
      </c>
      <c r="Y347" t="s">
        <v>4312</v>
      </c>
      <c r="Z347" t="s">
        <v>5627</v>
      </c>
      <c r="AA347">
        <v>1.057444596559916</v>
      </c>
      <c r="AB347" t="str">
        <f>HYPERLINK("Melting_Curves/meltCurve_P10599_TXN.pdf", "Melting_Curves/meltCurve_P10599_TXN.pdf")</f>
        <v>Melting_Curves/meltCurve_P10599_TXN.pdf</v>
      </c>
    </row>
    <row r="348" spans="1:28" x14ac:dyDescent="0.25">
      <c r="A348" t="s">
        <v>352</v>
      </c>
      <c r="B348">
        <v>1</v>
      </c>
      <c r="C348">
        <v>0.76728919600336198</v>
      </c>
      <c r="D348">
        <v>1.1408161359604101</v>
      </c>
      <c r="E348">
        <v>1.44719394901485</v>
      </c>
      <c r="F348">
        <v>1.12802315809133</v>
      </c>
      <c r="G348">
        <v>1.14753945279671</v>
      </c>
      <c r="H348">
        <v>1.0507050144738099</v>
      </c>
      <c r="I348">
        <v>1.2790176487067</v>
      </c>
      <c r="J348">
        <v>0.82205621439910403</v>
      </c>
      <c r="K348">
        <v>1.1284900550938499</v>
      </c>
      <c r="L348">
        <v>11314.402979083799</v>
      </c>
      <c r="M348">
        <v>250</v>
      </c>
      <c r="O348">
        <v>45.254715717151299</v>
      </c>
      <c r="P348">
        <v>0.19789574291192999</v>
      </c>
      <c r="Q348">
        <v>1.1432914492645201</v>
      </c>
      <c r="R348">
        <v>0.225147604435671</v>
      </c>
      <c r="S348" t="s">
        <v>1674</v>
      </c>
      <c r="T348" t="s">
        <v>2650</v>
      </c>
      <c r="U348" t="s">
        <v>2650</v>
      </c>
      <c r="V348" t="s">
        <v>2650</v>
      </c>
      <c r="W348" t="s">
        <v>2998</v>
      </c>
      <c r="X348">
        <v>5</v>
      </c>
      <c r="Y348" t="s">
        <v>4313</v>
      </c>
      <c r="Z348" t="s">
        <v>5628</v>
      </c>
      <c r="AA348">
        <v>1.118167707101166</v>
      </c>
      <c r="AB348" t="str">
        <f>HYPERLINK("Melting_Curves/meltCurve_P10600_TGFB3.pdf", "Melting_Curves/meltCurve_P10600_TGFB3.pdf")</f>
        <v>Melting_Curves/meltCurve_P10600_TGFB3.pdf</v>
      </c>
    </row>
    <row r="349" spans="1:28" x14ac:dyDescent="0.25">
      <c r="A349" t="s">
        <v>353</v>
      </c>
      <c r="B349">
        <v>1</v>
      </c>
      <c r="C349">
        <v>0.84031570969343705</v>
      </c>
      <c r="D349">
        <v>1.3329325980712401</v>
      </c>
      <c r="E349">
        <v>1.9339048166636199</v>
      </c>
      <c r="F349">
        <v>1.2959517026892799</v>
      </c>
      <c r="G349">
        <v>1.6444607061652201</v>
      </c>
      <c r="H349">
        <v>1.72035648015054</v>
      </c>
      <c r="I349">
        <v>2.5936805791495701</v>
      </c>
      <c r="J349">
        <v>1.64864229150877</v>
      </c>
      <c r="K349">
        <v>2.4051433499725601</v>
      </c>
      <c r="L349">
        <v>11468.281043246099</v>
      </c>
      <c r="M349">
        <v>250</v>
      </c>
      <c r="O349">
        <v>45.8701881744622</v>
      </c>
      <c r="P349">
        <v>0.68127036300044197</v>
      </c>
      <c r="Q349">
        <v>1.5</v>
      </c>
      <c r="R349">
        <v>0.170992797465536</v>
      </c>
      <c r="S349" t="s">
        <v>1675</v>
      </c>
      <c r="T349" t="s">
        <v>2650</v>
      </c>
      <c r="U349" t="s">
        <v>2650</v>
      </c>
      <c r="V349" t="s">
        <v>2650</v>
      </c>
      <c r="W349" t="s">
        <v>2999</v>
      </c>
      <c r="X349">
        <v>3</v>
      </c>
      <c r="Y349" t="s">
        <v>4314</v>
      </c>
      <c r="Z349" t="s">
        <v>5629</v>
      </c>
      <c r="AA349">
        <v>1.402074343807437</v>
      </c>
      <c r="AB349" t="str">
        <f>HYPERLINK("Melting_Curves/meltCurve_P10619_2_CTSA.pdf", "Melting_Curves/meltCurve_P10619_2_CTSA.pdf")</f>
        <v>Melting_Curves/meltCurve_P10619_2_CTSA.pdf</v>
      </c>
    </row>
    <row r="350" spans="1:28" x14ac:dyDescent="0.25">
      <c r="A350" t="s">
        <v>354</v>
      </c>
      <c r="B350">
        <v>1</v>
      </c>
      <c r="C350">
        <v>0.84351018688495005</v>
      </c>
      <c r="D350">
        <v>1.07312889343646</v>
      </c>
      <c r="E350">
        <v>1.2859249450780901</v>
      </c>
      <c r="F350">
        <v>0.94336272533028398</v>
      </c>
      <c r="G350">
        <v>1.07439284961931</v>
      </c>
      <c r="H350">
        <v>0.84561678052303701</v>
      </c>
      <c r="I350">
        <v>1.0725571037346899</v>
      </c>
      <c r="J350">
        <v>0.73420807126305299</v>
      </c>
      <c r="K350">
        <v>0.96211140870926004</v>
      </c>
      <c r="L350">
        <v>3520.7274060875302</v>
      </c>
      <c r="M350">
        <v>59.492080779603803</v>
      </c>
      <c r="O350">
        <v>59.113015144793302</v>
      </c>
      <c r="P350">
        <v>-2.4157253647251499E-2</v>
      </c>
      <c r="Q350">
        <v>0.90398672778850397</v>
      </c>
      <c r="R350">
        <v>0.144143090274332</v>
      </c>
      <c r="S350" t="s">
        <v>1676</v>
      </c>
      <c r="T350" t="s">
        <v>2650</v>
      </c>
      <c r="U350" t="s">
        <v>2650</v>
      </c>
      <c r="V350" t="s">
        <v>2650</v>
      </c>
      <c r="W350" t="s">
        <v>3000</v>
      </c>
      <c r="X350">
        <v>24</v>
      </c>
      <c r="Y350" t="s">
        <v>4315</v>
      </c>
      <c r="Z350" t="s">
        <v>5630</v>
      </c>
      <c r="AA350">
        <v>0.96554673902910415</v>
      </c>
      <c r="AB350" t="str">
        <f>HYPERLINK("Melting_Curves/meltCurve_P10909_4_CLU.pdf", "Melting_Curves/meltCurve_P10909_4_CLU.pdf")</f>
        <v>Melting_Curves/meltCurve_P10909_4_CLU.pdf</v>
      </c>
    </row>
    <row r="351" spans="1:28" x14ac:dyDescent="0.25">
      <c r="A351" t="s">
        <v>355</v>
      </c>
      <c r="B351">
        <v>1</v>
      </c>
      <c r="C351">
        <v>0.75387133168850795</v>
      </c>
      <c r="D351">
        <v>1.13545011592298</v>
      </c>
      <c r="E351">
        <v>1.2964776770770099</v>
      </c>
      <c r="F351">
        <v>1.0004711308379901</v>
      </c>
      <c r="G351">
        <v>1.0399717321497199</v>
      </c>
      <c r="H351">
        <v>0.95482103227246196</v>
      </c>
      <c r="I351">
        <v>1.1284699406127201</v>
      </c>
      <c r="J351">
        <v>0.72626058494612999</v>
      </c>
      <c r="K351">
        <v>0.99093693045860898</v>
      </c>
      <c r="L351">
        <v>3378.7958245556201</v>
      </c>
      <c r="M351">
        <v>51.6856089217289</v>
      </c>
      <c r="O351">
        <v>65.274441883800307</v>
      </c>
      <c r="P351">
        <v>-2.3509314161808102E-2</v>
      </c>
      <c r="Q351">
        <v>0.88123919072912105</v>
      </c>
      <c r="R351">
        <v>8.6489459318321096E-2</v>
      </c>
      <c r="S351" t="s">
        <v>1677</v>
      </c>
      <c r="T351" t="s">
        <v>2650</v>
      </c>
      <c r="U351" t="s">
        <v>2650</v>
      </c>
      <c r="V351" t="s">
        <v>2650</v>
      </c>
      <c r="W351" t="s">
        <v>3001</v>
      </c>
      <c r="X351">
        <v>26</v>
      </c>
      <c r="Y351" t="s">
        <v>4316</v>
      </c>
      <c r="Z351" t="s">
        <v>5631</v>
      </c>
      <c r="AA351">
        <v>0.98180626373685698</v>
      </c>
      <c r="AB351" t="str">
        <f>HYPERLINK("Melting_Curves/meltCurve_P11021_HSPA5.pdf", "Melting_Curves/meltCurve_P11021_HSPA5.pdf")</f>
        <v>Melting_Curves/meltCurve_P11021_HSPA5.pdf</v>
      </c>
    </row>
    <row r="352" spans="1:28" x14ac:dyDescent="0.25">
      <c r="A352" t="s">
        <v>356</v>
      </c>
      <c r="B352">
        <v>1</v>
      </c>
      <c r="C352">
        <v>0.80702697419859304</v>
      </c>
      <c r="D352">
        <v>1.10711493354183</v>
      </c>
      <c r="E352">
        <v>1.40959734167318</v>
      </c>
      <c r="F352">
        <v>1.2493158717748201</v>
      </c>
      <c r="G352">
        <v>1.6728401094605201</v>
      </c>
      <c r="H352">
        <v>1.71831020328382</v>
      </c>
      <c r="I352">
        <v>2.5838057075840499</v>
      </c>
      <c r="J352">
        <v>1.86598416731822</v>
      </c>
      <c r="K352">
        <v>2.6654124315871801</v>
      </c>
      <c r="L352">
        <v>1474.11247891832</v>
      </c>
      <c r="M352">
        <v>30.387613751457199</v>
      </c>
      <c r="O352">
        <v>48.301676224024298</v>
      </c>
      <c r="P352">
        <v>7.8640651314517696E-2</v>
      </c>
      <c r="Q352">
        <v>1.5</v>
      </c>
      <c r="R352">
        <v>0.207917837208174</v>
      </c>
      <c r="S352" t="s">
        <v>1678</v>
      </c>
      <c r="T352" t="s">
        <v>2650</v>
      </c>
      <c r="U352" t="s">
        <v>2650</v>
      </c>
      <c r="V352" t="s">
        <v>2650</v>
      </c>
      <c r="W352" t="s">
        <v>3002</v>
      </c>
      <c r="X352">
        <v>6</v>
      </c>
      <c r="Y352" t="s">
        <v>4317</v>
      </c>
      <c r="Z352" t="s">
        <v>5632</v>
      </c>
      <c r="AA352">
        <v>1.355215133790963</v>
      </c>
      <c r="AB352" t="str">
        <f>HYPERLINK("Melting_Curves/meltCurve_P11047_LAMC1.pdf", "Melting_Curves/meltCurve_P11047_LAMC1.pdf")</f>
        <v>Melting_Curves/meltCurve_P11047_LAMC1.pdf</v>
      </c>
    </row>
    <row r="353" spans="1:28" x14ac:dyDescent="0.25">
      <c r="A353" t="s">
        <v>357</v>
      </c>
      <c r="B353">
        <v>1</v>
      </c>
      <c r="C353">
        <v>0.80191517527120204</v>
      </c>
      <c r="D353">
        <v>1.13389035019857</v>
      </c>
      <c r="E353">
        <v>1.3081300393694</v>
      </c>
      <c r="F353">
        <v>1.14838310382175</v>
      </c>
      <c r="G353">
        <v>1.3149036395206899</v>
      </c>
      <c r="H353">
        <v>1.1932023312187301</v>
      </c>
      <c r="I353">
        <v>1.4456306840648501</v>
      </c>
      <c r="J353">
        <v>1.1705950109168399</v>
      </c>
      <c r="K353">
        <v>1.46961335465126</v>
      </c>
      <c r="L353">
        <v>11507.9159530791</v>
      </c>
      <c r="M353">
        <v>250</v>
      </c>
      <c r="O353">
        <v>46.028717845209201</v>
      </c>
      <c r="P353">
        <v>0.39774434271606901</v>
      </c>
      <c r="Q353">
        <v>1.29292259522846</v>
      </c>
      <c r="R353">
        <v>0.61492200910861305</v>
      </c>
      <c r="S353" t="s">
        <v>1679</v>
      </c>
      <c r="T353" t="s">
        <v>2650</v>
      </c>
      <c r="U353" t="s">
        <v>2650</v>
      </c>
      <c r="V353" t="s">
        <v>2650</v>
      </c>
      <c r="W353" t="s">
        <v>3003</v>
      </c>
      <c r="X353">
        <v>19</v>
      </c>
      <c r="Y353" t="s">
        <v>4318</v>
      </c>
      <c r="Z353" t="s">
        <v>5633</v>
      </c>
      <c r="AA353">
        <v>1.234005244271184</v>
      </c>
      <c r="AB353" t="str">
        <f>HYPERLINK("Melting_Curves/meltCurve_P11142_HSPA8.pdf", "Melting_Curves/meltCurve_P11142_HSPA8.pdf")</f>
        <v>Melting_Curves/meltCurve_P11142_HSPA8.pdf</v>
      </c>
    </row>
    <row r="354" spans="1:28" x14ac:dyDescent="0.25">
      <c r="A354" t="s">
        <v>358</v>
      </c>
      <c r="B354">
        <v>1</v>
      </c>
      <c r="C354">
        <v>0.85280300657688701</v>
      </c>
      <c r="D354">
        <v>1.12228454289212</v>
      </c>
      <c r="E354">
        <v>1.2902941092731299</v>
      </c>
      <c r="F354">
        <v>0.96970646015431505</v>
      </c>
      <c r="G354">
        <v>0.97574239102582305</v>
      </c>
      <c r="H354">
        <v>0.95558465962474703</v>
      </c>
      <c r="I354">
        <v>1.2627338211428401</v>
      </c>
      <c r="J354">
        <v>0.69905759758562802</v>
      </c>
      <c r="K354">
        <v>1.0172821228255</v>
      </c>
      <c r="L354">
        <v>1609.0299090641499</v>
      </c>
      <c r="M354">
        <v>23.833815245613899</v>
      </c>
      <c r="O354">
        <v>67.040491369214195</v>
      </c>
      <c r="P354">
        <v>-8.5320682516386599E-3</v>
      </c>
      <c r="Q354">
        <v>0.90400448589086502</v>
      </c>
      <c r="R354">
        <v>1.72806891621731E-2</v>
      </c>
      <c r="S354" t="s">
        <v>1680</v>
      </c>
      <c r="T354" t="s">
        <v>2650</v>
      </c>
      <c r="U354" t="s">
        <v>2650</v>
      </c>
      <c r="V354" t="s">
        <v>2650</v>
      </c>
      <c r="W354" t="s">
        <v>3004</v>
      </c>
      <c r="X354">
        <v>2</v>
      </c>
      <c r="Y354" t="s">
        <v>4319</v>
      </c>
      <c r="Z354" t="s">
        <v>5634</v>
      </c>
      <c r="AA354">
        <v>0.98945647095255818</v>
      </c>
      <c r="AB354" t="str">
        <f>HYPERLINK("Melting_Curves/meltCurve_P11279_LAMP1.pdf", "Melting_Curves/meltCurve_P11279_LAMP1.pdf")</f>
        <v>Melting_Curves/meltCurve_P11279_LAMP1.pdf</v>
      </c>
    </row>
    <row r="355" spans="1:28" x14ac:dyDescent="0.25">
      <c r="A355" t="s">
        <v>359</v>
      </c>
      <c r="B355">
        <v>1</v>
      </c>
      <c r="C355">
        <v>0.75799169225212204</v>
      </c>
      <c r="D355">
        <v>1.0542893263500099</v>
      </c>
      <c r="E355">
        <v>1.33563301426765</v>
      </c>
      <c r="F355">
        <v>1.0429474444645099</v>
      </c>
      <c r="G355">
        <v>1.3087231352718101</v>
      </c>
      <c r="H355">
        <v>0.95647462524832905</v>
      </c>
      <c r="I355">
        <v>1.2033953404370601</v>
      </c>
      <c r="J355">
        <v>0.78432364096080898</v>
      </c>
      <c r="K355">
        <v>1.0875925591475499</v>
      </c>
      <c r="L355">
        <v>11494.7538428476</v>
      </c>
      <c r="M355">
        <v>250</v>
      </c>
      <c r="O355">
        <v>45.976073252211698</v>
      </c>
      <c r="P355">
        <v>0.13964751477040799</v>
      </c>
      <c r="Q355">
        <v>1.10272710925657</v>
      </c>
      <c r="R355">
        <v>0.14266259706616599</v>
      </c>
      <c r="S355" t="s">
        <v>1681</v>
      </c>
      <c r="T355" t="s">
        <v>2650</v>
      </c>
      <c r="U355" t="s">
        <v>2650</v>
      </c>
      <c r="V355" t="s">
        <v>2650</v>
      </c>
      <c r="W355" t="s">
        <v>3005</v>
      </c>
      <c r="X355">
        <v>2</v>
      </c>
      <c r="Y355" t="s">
        <v>4320</v>
      </c>
      <c r="Z355" t="s">
        <v>5635</v>
      </c>
      <c r="AA355">
        <v>1.0822452544436689</v>
      </c>
      <c r="AB355" t="str">
        <f>HYPERLINK("Melting_Curves/meltCurve_P11684_SCGB1A1.pdf", "Melting_Curves/meltCurve_P11684_SCGB1A1.pdf")</f>
        <v>Melting_Curves/meltCurve_P11684_SCGB1A1.pdf</v>
      </c>
    </row>
    <row r="356" spans="1:28" x14ac:dyDescent="0.25">
      <c r="A356" t="s">
        <v>360</v>
      </c>
      <c r="B356">
        <v>1</v>
      </c>
      <c r="C356">
        <v>0.81419691340383005</v>
      </c>
      <c r="D356">
        <v>1.31564375535867</v>
      </c>
      <c r="E356">
        <v>1.69957487853672</v>
      </c>
      <c r="F356">
        <v>1.2452486424692799</v>
      </c>
      <c r="G356">
        <v>1.36246070305802</v>
      </c>
      <c r="H356">
        <v>1.1887682194912801</v>
      </c>
      <c r="I356">
        <v>1.4237460703058</v>
      </c>
      <c r="J356">
        <v>0.87975135753072298</v>
      </c>
      <c r="K356">
        <v>1.25709131180337</v>
      </c>
      <c r="L356">
        <v>11150.884820196899</v>
      </c>
      <c r="M356">
        <v>250</v>
      </c>
      <c r="O356">
        <v>44.600684962601697</v>
      </c>
      <c r="P356">
        <v>0.41556537578745101</v>
      </c>
      <c r="Q356">
        <v>1.29655200607921</v>
      </c>
      <c r="R356">
        <v>0.356192700837547</v>
      </c>
      <c r="S356" t="s">
        <v>1682</v>
      </c>
      <c r="T356" t="s">
        <v>2650</v>
      </c>
      <c r="U356" t="s">
        <v>2650</v>
      </c>
      <c r="V356" t="s">
        <v>2650</v>
      </c>
      <c r="W356" t="s">
        <v>3006</v>
      </c>
      <c r="X356">
        <v>32</v>
      </c>
      <c r="Y356" t="s">
        <v>4321</v>
      </c>
      <c r="Z356" t="s">
        <v>5636</v>
      </c>
      <c r="AA356">
        <v>1.251022498801819</v>
      </c>
      <c r="AB356" t="str">
        <f>HYPERLINK("Melting_Curves/meltCurve_P11717_IGF2R.pdf", "Melting_Curves/meltCurve_P11717_IGF2R.pdf")</f>
        <v>Melting_Curves/meltCurve_P11717_IGF2R.pdf</v>
      </c>
    </row>
    <row r="357" spans="1:28" x14ac:dyDescent="0.25">
      <c r="A357" t="s">
        <v>361</v>
      </c>
      <c r="B357">
        <v>1</v>
      </c>
      <c r="C357">
        <v>0.710410199840948</v>
      </c>
      <c r="D357">
        <v>1.0575536799979499</v>
      </c>
      <c r="E357">
        <v>1.3238500808086</v>
      </c>
      <c r="F357">
        <v>0.93069700623380602</v>
      </c>
      <c r="G357">
        <v>1.0687514430106999</v>
      </c>
      <c r="H357">
        <v>0.954375208434879</v>
      </c>
      <c r="I357">
        <v>1.14055565531926</v>
      </c>
      <c r="J357">
        <v>0.72709781688514896</v>
      </c>
      <c r="K357">
        <v>0.98940509478976901</v>
      </c>
      <c r="L357">
        <v>3147.6282843734498</v>
      </c>
      <c r="M357">
        <v>48.068423731793999</v>
      </c>
      <c r="O357">
        <v>65.369210557903102</v>
      </c>
      <c r="P357">
        <v>-2.1474250767255801E-2</v>
      </c>
      <c r="Q357">
        <v>0.88318706585802598</v>
      </c>
      <c r="R357">
        <v>6.8383938765498503E-2</v>
      </c>
      <c r="S357" t="s">
        <v>1683</v>
      </c>
      <c r="T357" t="s">
        <v>2650</v>
      </c>
      <c r="U357" t="s">
        <v>2650</v>
      </c>
      <c r="V357" t="s">
        <v>2650</v>
      </c>
      <c r="W357" t="s">
        <v>3007</v>
      </c>
      <c r="X357">
        <v>4</v>
      </c>
      <c r="Y357" t="s">
        <v>4322</v>
      </c>
      <c r="Z357" t="s">
        <v>5637</v>
      </c>
      <c r="AA357">
        <v>0.98249480154561664</v>
      </c>
      <c r="AB357" t="str">
        <f>HYPERLINK("Melting_Curves/meltCurve_P11908_PRPS2.pdf", "Melting_Curves/meltCurve_P11908_PRPS2.pdf")</f>
        <v>Melting_Curves/meltCurve_P11908_PRPS2.pdf</v>
      </c>
    </row>
    <row r="358" spans="1:28" x14ac:dyDescent="0.25">
      <c r="A358" t="s">
        <v>362</v>
      </c>
      <c r="B358">
        <v>1</v>
      </c>
      <c r="C358">
        <v>0.73402477276369704</v>
      </c>
      <c r="D358">
        <v>1.1463012569544599</v>
      </c>
      <c r="E358">
        <v>1.37823110561623</v>
      </c>
      <c r="F358">
        <v>1.09732811319459</v>
      </c>
      <c r="G358">
        <v>1.33035693843442</v>
      </c>
      <c r="H358">
        <v>1.4360189573459701</v>
      </c>
      <c r="I358">
        <v>1.7630789660462001</v>
      </c>
      <c r="J358">
        <v>1.21778052521922</v>
      </c>
      <c r="K358">
        <v>1.62355473132312</v>
      </c>
      <c r="L358">
        <v>734.76458765942095</v>
      </c>
      <c r="M358">
        <v>14.0857590936065</v>
      </c>
      <c r="O358">
        <v>51.146030110818501</v>
      </c>
      <c r="P358">
        <v>3.44297961683563E-2</v>
      </c>
      <c r="Q358">
        <v>1.5</v>
      </c>
      <c r="R358">
        <v>0.58287427221848698</v>
      </c>
      <c r="S358" t="s">
        <v>1684</v>
      </c>
      <c r="T358" t="s">
        <v>2650</v>
      </c>
      <c r="U358" t="s">
        <v>2650</v>
      </c>
      <c r="V358" t="s">
        <v>2650</v>
      </c>
      <c r="W358" t="s">
        <v>3008</v>
      </c>
      <c r="X358">
        <v>2</v>
      </c>
      <c r="Y358" t="s">
        <v>4323</v>
      </c>
      <c r="Z358" t="s">
        <v>5638</v>
      </c>
      <c r="AA358">
        <v>1.285080397157371</v>
      </c>
      <c r="AB358" t="str">
        <f>HYPERLINK("Melting_Curves/meltCurve_P11940_2_PABPC1.pdf", "Melting_Curves/meltCurve_P11940_2_PABPC1.pdf")</f>
        <v>Melting_Curves/meltCurve_P11940_2_PABPC1.pdf</v>
      </c>
    </row>
    <row r="359" spans="1:28" x14ac:dyDescent="0.25">
      <c r="A359" t="s">
        <v>363</v>
      </c>
      <c r="B359">
        <v>1</v>
      </c>
      <c r="C359">
        <v>0.83265432417100704</v>
      </c>
      <c r="D359">
        <v>1.3662008148109901</v>
      </c>
      <c r="E359">
        <v>2.5513898200196001</v>
      </c>
      <c r="F359">
        <v>4.0724562941570799</v>
      </c>
      <c r="G359">
        <v>5.6799546181218101</v>
      </c>
      <c r="H359">
        <v>4.8393584652673898</v>
      </c>
      <c r="I359">
        <v>6.0321798772626503</v>
      </c>
      <c r="J359">
        <v>3.80320767366304</v>
      </c>
      <c r="K359">
        <v>5.8547779897890804</v>
      </c>
      <c r="L359">
        <v>11453.6851476721</v>
      </c>
      <c r="M359">
        <v>250</v>
      </c>
      <c r="O359">
        <v>45.811808573784504</v>
      </c>
      <c r="P359">
        <v>0.68213853345882103</v>
      </c>
      <c r="Q359">
        <v>1.5</v>
      </c>
      <c r="R359">
        <v>-1.15720496063407</v>
      </c>
      <c r="S359" t="s">
        <v>1685</v>
      </c>
      <c r="T359" t="s">
        <v>2650</v>
      </c>
      <c r="U359" t="s">
        <v>2650</v>
      </c>
      <c r="V359" t="s">
        <v>2650</v>
      </c>
      <c r="W359" t="s">
        <v>3009</v>
      </c>
      <c r="X359">
        <v>5</v>
      </c>
      <c r="Y359" t="s">
        <v>4324</v>
      </c>
      <c r="Z359" t="s">
        <v>5639</v>
      </c>
      <c r="AA359">
        <v>1.403047454743509</v>
      </c>
      <c r="AB359" t="str">
        <f>HYPERLINK("Melting_Curves/meltCurve_P12081_3_HARS.pdf", "Melting_Curves/meltCurve_P12081_3_HARS.pdf")</f>
        <v>Melting_Curves/meltCurve_P12081_3_HARS.pdf</v>
      </c>
    </row>
    <row r="360" spans="1:28" x14ac:dyDescent="0.25">
      <c r="A360" t="s">
        <v>364</v>
      </c>
      <c r="B360">
        <v>1</v>
      </c>
      <c r="C360">
        <v>0.81759368836291901</v>
      </c>
      <c r="D360">
        <v>1.0756607495068999</v>
      </c>
      <c r="E360">
        <v>1.35108481262327</v>
      </c>
      <c r="F360">
        <v>1.0750295857988199</v>
      </c>
      <c r="G360">
        <v>1.2020512820512801</v>
      </c>
      <c r="H360">
        <v>1.05767258382643</v>
      </c>
      <c r="I360">
        <v>1.3276528599605499</v>
      </c>
      <c r="J360">
        <v>0.86887573964497</v>
      </c>
      <c r="K360">
        <v>1.18745562130178</v>
      </c>
      <c r="L360">
        <v>11500.909185295201</v>
      </c>
      <c r="M360">
        <v>250</v>
      </c>
      <c r="O360">
        <v>46.000692796076201</v>
      </c>
      <c r="P360">
        <v>0.207648752701764</v>
      </c>
      <c r="Q360">
        <v>1.15283178359932</v>
      </c>
      <c r="R360">
        <v>0.27413075321102698</v>
      </c>
      <c r="S360" t="s">
        <v>1686</v>
      </c>
      <c r="T360" t="s">
        <v>2650</v>
      </c>
      <c r="U360" t="s">
        <v>2650</v>
      </c>
      <c r="V360" t="s">
        <v>2650</v>
      </c>
      <c r="W360" t="s">
        <v>3010</v>
      </c>
      <c r="X360">
        <v>10</v>
      </c>
      <c r="Y360" t="s">
        <v>4325</v>
      </c>
      <c r="Z360" t="s">
        <v>5640</v>
      </c>
      <c r="AA360">
        <v>1.1222345609155051</v>
      </c>
      <c r="AB360" t="str">
        <f>HYPERLINK("Melting_Curves/meltCurve_P12109_COL6A1.pdf", "Melting_Curves/meltCurve_P12109_COL6A1.pdf")</f>
        <v>Melting_Curves/meltCurve_P12109_COL6A1.pdf</v>
      </c>
    </row>
    <row r="361" spans="1:28" x14ac:dyDescent="0.25">
      <c r="A361" t="s">
        <v>365</v>
      </c>
      <c r="B361">
        <v>1</v>
      </c>
      <c r="C361">
        <v>0.80280518904534903</v>
      </c>
      <c r="D361">
        <v>1.14288354215175</v>
      </c>
      <c r="E361">
        <v>1.335255201981</v>
      </c>
      <c r="F361">
        <v>0.99488117677495702</v>
      </c>
      <c r="G361">
        <v>1.0921203385445499</v>
      </c>
      <c r="H361">
        <v>0.95856894703773499</v>
      </c>
      <c r="I361">
        <v>1.09210185903833</v>
      </c>
      <c r="J361">
        <v>0.72027571423291603</v>
      </c>
      <c r="K361">
        <v>0.99318106220201796</v>
      </c>
      <c r="L361">
        <v>15000</v>
      </c>
      <c r="M361">
        <v>229.32536238296299</v>
      </c>
      <c r="O361">
        <v>65.404287314824003</v>
      </c>
      <c r="P361">
        <v>-0.12533863074259699</v>
      </c>
      <c r="Q361">
        <v>0.85701219831868303</v>
      </c>
      <c r="R361">
        <v>0.145985545077883</v>
      </c>
      <c r="S361" t="s">
        <v>1687</v>
      </c>
      <c r="T361" t="s">
        <v>2650</v>
      </c>
      <c r="U361" t="s">
        <v>2650</v>
      </c>
      <c r="V361" t="s">
        <v>2650</v>
      </c>
      <c r="W361" t="s">
        <v>3011</v>
      </c>
      <c r="X361">
        <v>12</v>
      </c>
      <c r="Y361" t="s">
        <v>4326</v>
      </c>
      <c r="Z361" t="s">
        <v>5641</v>
      </c>
      <c r="AA361">
        <v>0.97813879969742457</v>
      </c>
      <c r="AB361" t="str">
        <f>HYPERLINK("Melting_Curves/meltCurve_P12110_COL6A2.pdf", "Melting_Curves/meltCurve_P12110_COL6A2.pdf")</f>
        <v>Melting_Curves/meltCurve_P12110_COL6A2.pdf</v>
      </c>
    </row>
    <row r="362" spans="1:28" x14ac:dyDescent="0.25">
      <c r="A362" t="s">
        <v>366</v>
      </c>
      <c r="B362">
        <v>1</v>
      </c>
      <c r="C362">
        <v>0.828011204481793</v>
      </c>
      <c r="D362">
        <v>1.05390330045062</v>
      </c>
      <c r="E362">
        <v>1.1775910364145701</v>
      </c>
      <c r="F362">
        <v>1.0224089635854301</v>
      </c>
      <c r="G362">
        <v>0.98433808305931103</v>
      </c>
      <c r="H362">
        <v>0.96236755571793897</v>
      </c>
      <c r="I362">
        <v>1.0738765071245899</v>
      </c>
      <c r="J362">
        <v>0.77401047375471899</v>
      </c>
      <c r="K362">
        <v>0.99400803799780801</v>
      </c>
      <c r="L362">
        <v>15000</v>
      </c>
      <c r="M362">
        <v>229.32698601609999</v>
      </c>
      <c r="O362">
        <v>65.403824112949295</v>
      </c>
      <c r="P362">
        <v>-0.101476128049193</v>
      </c>
      <c r="Q362">
        <v>0.88423646449743998</v>
      </c>
      <c r="R362">
        <v>0.20657626098044499</v>
      </c>
      <c r="S362" t="s">
        <v>1688</v>
      </c>
      <c r="T362" t="s">
        <v>2650</v>
      </c>
      <c r="U362" t="s">
        <v>2650</v>
      </c>
      <c r="V362" t="s">
        <v>2650</v>
      </c>
      <c r="W362" t="s">
        <v>3012</v>
      </c>
      <c r="X362">
        <v>11</v>
      </c>
      <c r="Y362" t="s">
        <v>4327</v>
      </c>
      <c r="Z362" t="s">
        <v>5642</v>
      </c>
      <c r="AA362">
        <v>0.98229929145394546</v>
      </c>
      <c r="AB362" t="str">
        <f>HYPERLINK("Melting_Curves/meltCurve_P12273_PIP.pdf", "Melting_Curves/meltCurve_P12273_PIP.pdf")</f>
        <v>Melting_Curves/meltCurve_P12273_PIP.pdf</v>
      </c>
    </row>
    <row r="363" spans="1:28" x14ac:dyDescent="0.25">
      <c r="A363" t="s">
        <v>367</v>
      </c>
      <c r="B363">
        <v>1</v>
      </c>
      <c r="C363">
        <v>0.85184568150986495</v>
      </c>
      <c r="D363">
        <v>1.20691624818526</v>
      </c>
      <c r="E363">
        <v>1.5132446390746599</v>
      </c>
      <c r="F363">
        <v>1.3610443391960401</v>
      </c>
      <c r="G363">
        <v>1.52954756408121</v>
      </c>
      <c r="H363">
        <v>1.4883975533712499</v>
      </c>
      <c r="I363">
        <v>1.86683961253778</v>
      </c>
      <c r="J363">
        <v>1.2445438750981701</v>
      </c>
      <c r="K363">
        <v>1.63148249518052</v>
      </c>
      <c r="L363">
        <v>11516.014640047601</v>
      </c>
      <c r="M363">
        <v>250</v>
      </c>
      <c r="O363">
        <v>46.061110761133001</v>
      </c>
      <c r="P363">
        <v>0.67844651414074897</v>
      </c>
      <c r="Q363">
        <v>1.5</v>
      </c>
      <c r="R363">
        <v>0.68462359446068199</v>
      </c>
      <c r="S363" t="s">
        <v>1689</v>
      </c>
      <c r="T363" t="s">
        <v>2650</v>
      </c>
      <c r="U363" t="s">
        <v>2650</v>
      </c>
      <c r="V363" t="s">
        <v>2650</v>
      </c>
      <c r="W363" t="s">
        <v>3013</v>
      </c>
      <c r="X363">
        <v>11</v>
      </c>
      <c r="Y363" t="s">
        <v>4328</v>
      </c>
      <c r="Z363" t="s">
        <v>5643</v>
      </c>
      <c r="AA363">
        <v>1.398891936477231</v>
      </c>
      <c r="AB363" t="str">
        <f>HYPERLINK("Melting_Curves/meltCurve_P12277_CKB.pdf", "Melting_Curves/meltCurve_P12277_CKB.pdf")</f>
        <v>Melting_Curves/meltCurve_P12277_CKB.pdf</v>
      </c>
    </row>
    <row r="364" spans="1:28" x14ac:dyDescent="0.25">
      <c r="A364" t="s">
        <v>368</v>
      </c>
      <c r="B364">
        <v>1</v>
      </c>
      <c r="C364">
        <v>0.719595641032861</v>
      </c>
      <c r="D364">
        <v>1.19114127221018</v>
      </c>
      <c r="E364">
        <v>1.4375862360262399</v>
      </c>
      <c r="F364">
        <v>1.2086278264297601</v>
      </c>
      <c r="G364">
        <v>2.4837383493368601</v>
      </c>
      <c r="H364">
        <v>3.8087460929800399</v>
      </c>
      <c r="I364">
        <v>5.0612451778222098</v>
      </c>
      <c r="J364">
        <v>3.2996367527384298</v>
      </c>
      <c r="K364">
        <v>4.6889871314729801</v>
      </c>
      <c r="L364">
        <v>11522.0740788682</v>
      </c>
      <c r="M364">
        <v>250</v>
      </c>
      <c r="O364">
        <v>46.085338895324099</v>
      </c>
      <c r="P364">
        <v>0.67808971996689404</v>
      </c>
      <c r="Q364">
        <v>1.5</v>
      </c>
      <c r="R364">
        <v>-0.37760906748061501</v>
      </c>
      <c r="S364" t="s">
        <v>1690</v>
      </c>
      <c r="T364" t="s">
        <v>2650</v>
      </c>
      <c r="U364" t="s">
        <v>2650</v>
      </c>
      <c r="V364" t="s">
        <v>2650</v>
      </c>
      <c r="W364" t="s">
        <v>3014</v>
      </c>
      <c r="X364">
        <v>21</v>
      </c>
      <c r="Y364" t="s">
        <v>4329</v>
      </c>
      <c r="Z364" t="s">
        <v>5644</v>
      </c>
      <c r="AA364">
        <v>1.398487952620749</v>
      </c>
      <c r="AB364" t="str">
        <f>HYPERLINK("Melting_Curves/meltCurve_P12429_ANXA3.pdf", "Melting_Curves/meltCurve_P12429_ANXA3.pdf")</f>
        <v>Melting_Curves/meltCurve_P12429_ANXA3.pdf</v>
      </c>
    </row>
    <row r="365" spans="1:28" x14ac:dyDescent="0.25">
      <c r="A365" t="s">
        <v>369</v>
      </c>
      <c r="B365">
        <v>1</v>
      </c>
      <c r="C365">
        <v>0.82819313091090097</v>
      </c>
      <c r="D365">
        <v>1.1935490293678399</v>
      </c>
      <c r="E365">
        <v>1.51924340467894</v>
      </c>
      <c r="F365">
        <v>1.2314584370333499</v>
      </c>
      <c r="G365">
        <v>1.4078446988551501</v>
      </c>
      <c r="H365">
        <v>1.3195818815331</v>
      </c>
      <c r="I365">
        <v>1.61379790940767</v>
      </c>
      <c r="J365">
        <v>1.0880438028870101</v>
      </c>
      <c r="K365">
        <v>1.44539571926332</v>
      </c>
      <c r="L365">
        <v>11497.044165593499</v>
      </c>
      <c r="M365">
        <v>250</v>
      </c>
      <c r="O365">
        <v>45.985233745712698</v>
      </c>
      <c r="P365">
        <v>0.50974551430507098</v>
      </c>
      <c r="Q365">
        <v>1.3750522654024799</v>
      </c>
      <c r="R365">
        <v>0.59429725108190001</v>
      </c>
      <c r="S365" t="s">
        <v>1691</v>
      </c>
      <c r="T365" t="s">
        <v>2650</v>
      </c>
      <c r="U365" t="s">
        <v>2650</v>
      </c>
      <c r="V365" t="s">
        <v>2650</v>
      </c>
      <c r="W365" t="s">
        <v>3015</v>
      </c>
      <c r="X365">
        <v>11</v>
      </c>
      <c r="Y365" t="s">
        <v>4330</v>
      </c>
      <c r="Z365" t="s">
        <v>5645</v>
      </c>
      <c r="AA365">
        <v>1.300159354722062</v>
      </c>
      <c r="AB365" t="str">
        <f>HYPERLINK("Melting_Curves/meltCurve_P12814_2_ACTN1.pdf", "Melting_Curves/meltCurve_P12814_2_ACTN1.pdf")</f>
        <v>Melting_Curves/meltCurve_P12814_2_ACTN1.pdf</v>
      </c>
    </row>
    <row r="366" spans="1:28" x14ac:dyDescent="0.25">
      <c r="A366" t="s">
        <v>370</v>
      </c>
      <c r="B366">
        <v>1</v>
      </c>
      <c r="C366">
        <v>0.81647669888904895</v>
      </c>
      <c r="D366">
        <v>1.2961092675419601</v>
      </c>
      <c r="E366">
        <v>2.1501947770884402</v>
      </c>
      <c r="F366">
        <v>2.0154859808589398</v>
      </c>
      <c r="G366">
        <v>2.4550569903332899</v>
      </c>
      <c r="H366">
        <v>2.0912326263646399</v>
      </c>
      <c r="I366">
        <v>2.8549030923868601</v>
      </c>
      <c r="J366">
        <v>1.9245900062521</v>
      </c>
      <c r="K366">
        <v>2.63439619102583</v>
      </c>
      <c r="L366">
        <v>11482.8353670789</v>
      </c>
      <c r="M366">
        <v>250</v>
      </c>
      <c r="O366">
        <v>45.928402870472901</v>
      </c>
      <c r="P366">
        <v>0.68040686289955599</v>
      </c>
      <c r="Q366">
        <v>1.5</v>
      </c>
      <c r="R366">
        <v>-0.25415106548832</v>
      </c>
      <c r="S366" t="s">
        <v>1692</v>
      </c>
      <c r="T366" t="s">
        <v>2650</v>
      </c>
      <c r="U366" t="s">
        <v>2650</v>
      </c>
      <c r="V366" t="s">
        <v>2650</v>
      </c>
      <c r="W366" t="s">
        <v>3016</v>
      </c>
      <c r="X366">
        <v>16</v>
      </c>
      <c r="Y366" t="s">
        <v>4331</v>
      </c>
      <c r="Z366" t="s">
        <v>5646</v>
      </c>
      <c r="AA366">
        <v>1.4011040044666929</v>
      </c>
      <c r="AB366" t="str">
        <f>HYPERLINK("Melting_Curves/meltCurve_P12821_2_ACE.pdf", "Melting_Curves/meltCurve_P12821_2_ACE.pdf")</f>
        <v>Melting_Curves/meltCurve_P12821_2_ACE.pdf</v>
      </c>
    </row>
    <row r="367" spans="1:28" x14ac:dyDescent="0.25">
      <c r="A367" t="s">
        <v>371</v>
      </c>
      <c r="B367">
        <v>1</v>
      </c>
      <c r="C367">
        <v>0.83530267854049001</v>
      </c>
      <c r="D367">
        <v>1.27284382688243</v>
      </c>
      <c r="E367">
        <v>1.65206694618663</v>
      </c>
      <c r="F367">
        <v>1.3756886933019199</v>
      </c>
      <c r="G367">
        <v>1.4492879171142501</v>
      </c>
      <c r="H367">
        <v>1.41176062926643</v>
      </c>
      <c r="I367">
        <v>1.7026924009841</v>
      </c>
      <c r="J367">
        <v>1.16975640181572</v>
      </c>
      <c r="K367">
        <v>1.54530649017637</v>
      </c>
      <c r="L367">
        <v>11485.603109380099</v>
      </c>
      <c r="M367">
        <v>250</v>
      </c>
      <c r="O367">
        <v>45.939473028686301</v>
      </c>
      <c r="P367">
        <v>0.64264674746100803</v>
      </c>
      <c r="Q367">
        <v>1.47236564002091</v>
      </c>
      <c r="R367">
        <v>0.67844775465892404</v>
      </c>
      <c r="S367" t="s">
        <v>1693</v>
      </c>
      <c r="T367" t="s">
        <v>2650</v>
      </c>
      <c r="U367" t="s">
        <v>2650</v>
      </c>
      <c r="V367" t="s">
        <v>2650</v>
      </c>
      <c r="W367" t="s">
        <v>3017</v>
      </c>
      <c r="X367">
        <v>11</v>
      </c>
      <c r="Y367" t="s">
        <v>4332</v>
      </c>
      <c r="Z367" t="s">
        <v>5647</v>
      </c>
      <c r="AA367">
        <v>1.3787611722101449</v>
      </c>
      <c r="AB367" t="str">
        <f>HYPERLINK("Melting_Curves/meltCurve_P12830_CDH1.pdf", "Melting_Curves/meltCurve_P12830_CDH1.pdf")</f>
        <v>Melting_Curves/meltCurve_P12830_CDH1.pdf</v>
      </c>
    </row>
    <row r="368" spans="1:28" x14ac:dyDescent="0.25">
      <c r="A368" t="s">
        <v>372</v>
      </c>
      <c r="B368">
        <v>1</v>
      </c>
      <c r="C368">
        <v>0.68815776029426801</v>
      </c>
      <c r="D368">
        <v>0.98658083852729805</v>
      </c>
      <c r="E368">
        <v>1.29293961377337</v>
      </c>
      <c r="F368">
        <v>0.85375157521882805</v>
      </c>
      <c r="G368">
        <v>1.7498382207690499</v>
      </c>
      <c r="H368">
        <v>1.7344777085249099</v>
      </c>
      <c r="I368">
        <v>2.6837641769694498</v>
      </c>
      <c r="J368">
        <v>1.58775246074725</v>
      </c>
      <c r="K368">
        <v>2.8283437212628999</v>
      </c>
      <c r="L368">
        <v>4915.3241069772002</v>
      </c>
      <c r="M368">
        <v>89.728883796762105</v>
      </c>
      <c r="O368">
        <v>54.752537067940303</v>
      </c>
      <c r="P368">
        <v>0.204850986172705</v>
      </c>
      <c r="Q368">
        <v>1.5</v>
      </c>
      <c r="R368">
        <v>0.28469333078074999</v>
      </c>
      <c r="S368" t="s">
        <v>1694</v>
      </c>
      <c r="T368" t="s">
        <v>2650</v>
      </c>
      <c r="U368" t="s">
        <v>2650</v>
      </c>
      <c r="V368" t="s">
        <v>2650</v>
      </c>
      <c r="W368" t="s">
        <v>3018</v>
      </c>
      <c r="X368">
        <v>2</v>
      </c>
      <c r="Y368" t="s">
        <v>4333</v>
      </c>
      <c r="Z368" t="s">
        <v>5648</v>
      </c>
      <c r="AA368">
        <v>1.253297445867529</v>
      </c>
      <c r="AB368" t="str">
        <f>HYPERLINK("Melting_Curves/meltCurve_P12955_3_PEPD.pdf", "Melting_Curves/meltCurve_P12955_3_PEPD.pdf")</f>
        <v>Melting_Curves/meltCurve_P12955_3_PEPD.pdf</v>
      </c>
    </row>
    <row r="369" spans="1:28" x14ac:dyDescent="0.25">
      <c r="A369" t="s">
        <v>373</v>
      </c>
      <c r="B369">
        <v>1</v>
      </c>
      <c r="C369">
        <v>0.90518578073852896</v>
      </c>
      <c r="D369">
        <v>1.28541893987251</v>
      </c>
      <c r="E369">
        <v>1.55969677826911</v>
      </c>
      <c r="F369">
        <v>1.39522196060415</v>
      </c>
      <c r="G369">
        <v>1.2716361339229301</v>
      </c>
      <c r="H369">
        <v>1.2560156205134101</v>
      </c>
      <c r="I369">
        <v>1.6263711020501901</v>
      </c>
      <c r="J369">
        <v>0.86073623155113999</v>
      </c>
      <c r="K369">
        <v>1.2784126801814699</v>
      </c>
      <c r="L369">
        <v>11404.422529347999</v>
      </c>
      <c r="M369">
        <v>250</v>
      </c>
      <c r="O369">
        <v>45.614771041220401</v>
      </c>
      <c r="P369">
        <v>0.44003811181490199</v>
      </c>
      <c r="Q369">
        <v>1.3211558020609999</v>
      </c>
      <c r="R369">
        <v>0.35152964696248401</v>
      </c>
      <c r="S369" t="s">
        <v>1695</v>
      </c>
      <c r="T369" t="s">
        <v>2650</v>
      </c>
      <c r="U369" t="s">
        <v>2650</v>
      </c>
      <c r="V369" t="s">
        <v>2650</v>
      </c>
      <c r="W369" t="s">
        <v>3019</v>
      </c>
      <c r="X369">
        <v>2</v>
      </c>
      <c r="Y369" t="s">
        <v>4334</v>
      </c>
      <c r="Z369" t="s">
        <v>5649</v>
      </c>
      <c r="AA369">
        <v>1.260991631682457</v>
      </c>
      <c r="AB369" t="str">
        <f>HYPERLINK("Melting_Curves/meltCurve_P13489_RNH1.pdf", "Melting_Curves/meltCurve_P13489_RNH1.pdf")</f>
        <v>Melting_Curves/meltCurve_P13489_RNH1.pdf</v>
      </c>
    </row>
    <row r="370" spans="1:28" x14ac:dyDescent="0.25">
      <c r="A370" t="s">
        <v>374</v>
      </c>
      <c r="B370">
        <v>1</v>
      </c>
      <c r="C370">
        <v>0.67236194641880798</v>
      </c>
      <c r="D370">
        <v>1.13553854565336</v>
      </c>
      <c r="E370">
        <v>1.27520503007108</v>
      </c>
      <c r="F370">
        <v>0.92547840349917998</v>
      </c>
      <c r="G370">
        <v>0.97452159650082004</v>
      </c>
      <c r="H370">
        <v>0.95992345544013102</v>
      </c>
      <c r="I370">
        <v>1.0764352104975401</v>
      </c>
      <c r="J370">
        <v>0.59693821760524901</v>
      </c>
      <c r="K370">
        <v>0.896692181519956</v>
      </c>
      <c r="L370">
        <v>7685.04017721338</v>
      </c>
      <c r="M370">
        <v>117.67314282646301</v>
      </c>
      <c r="O370">
        <v>65.289504814557603</v>
      </c>
      <c r="P370">
        <v>-0.113247998904243</v>
      </c>
      <c r="Q370">
        <v>0.74866293484651203</v>
      </c>
      <c r="R370">
        <v>0.266215161044287</v>
      </c>
      <c r="S370" t="s">
        <v>1696</v>
      </c>
      <c r="T370" t="s">
        <v>2650</v>
      </c>
      <c r="U370" t="s">
        <v>2650</v>
      </c>
      <c r="V370" t="s">
        <v>2650</v>
      </c>
      <c r="W370" t="s">
        <v>3020</v>
      </c>
      <c r="X370">
        <v>7</v>
      </c>
      <c r="Y370" t="s">
        <v>4335</v>
      </c>
      <c r="Z370" t="s">
        <v>5650</v>
      </c>
      <c r="AA370">
        <v>0.96082199504991606</v>
      </c>
      <c r="AB370" t="str">
        <f>HYPERLINK("Melting_Curves/meltCurve_P13639_EEF2.pdf", "Melting_Curves/meltCurve_P13639_EEF2.pdf")</f>
        <v>Melting_Curves/meltCurve_P13639_EEF2.pdf</v>
      </c>
    </row>
    <row r="371" spans="1:28" x14ac:dyDescent="0.25">
      <c r="A371" t="s">
        <v>375</v>
      </c>
      <c r="B371">
        <v>1</v>
      </c>
      <c r="C371">
        <v>0.75923987882126098</v>
      </c>
      <c r="D371">
        <v>1.2594877444230199</v>
      </c>
      <c r="E371">
        <v>1.5402919305976299</v>
      </c>
      <c r="F371">
        <v>1.1568713852933099</v>
      </c>
      <c r="G371">
        <v>1.3465711925089501</v>
      </c>
      <c r="H371">
        <v>1.3074635086752999</v>
      </c>
      <c r="I371">
        <v>1.5594051225557699</v>
      </c>
      <c r="J371">
        <v>1.00291930597632</v>
      </c>
      <c r="K371">
        <v>1.40627926191132</v>
      </c>
      <c r="L371">
        <v>11440.970142787</v>
      </c>
      <c r="M371">
        <v>250</v>
      </c>
      <c r="O371">
        <v>45.760951987500398</v>
      </c>
      <c r="P371">
        <v>0.45262423144036901</v>
      </c>
      <c r="Q371">
        <v>1.3314002511762799</v>
      </c>
      <c r="R371">
        <v>0.49224589505008198</v>
      </c>
      <c r="S371" t="s">
        <v>1697</v>
      </c>
      <c r="T371" t="s">
        <v>2650</v>
      </c>
      <c r="U371" t="s">
        <v>2650</v>
      </c>
      <c r="V371" t="s">
        <v>2650</v>
      </c>
      <c r="W371" t="s">
        <v>3021</v>
      </c>
      <c r="X371">
        <v>8</v>
      </c>
      <c r="Y371" t="s">
        <v>4336</v>
      </c>
      <c r="Z371" t="s">
        <v>5651</v>
      </c>
      <c r="AA371">
        <v>1.26770191916457</v>
      </c>
      <c r="AB371" t="str">
        <f>HYPERLINK("Melting_Curves/meltCurve_P13667_PDIA4.pdf", "Melting_Curves/meltCurve_P13667_PDIA4.pdf")</f>
        <v>Melting_Curves/meltCurve_P13667_PDIA4.pdf</v>
      </c>
    </row>
    <row r="372" spans="1:28" x14ac:dyDescent="0.25">
      <c r="A372" t="s">
        <v>376</v>
      </c>
      <c r="B372">
        <v>1</v>
      </c>
      <c r="C372">
        <v>0.77626117838346698</v>
      </c>
      <c r="D372">
        <v>1.0596893586068199</v>
      </c>
      <c r="E372">
        <v>1.3196268880236199</v>
      </c>
      <c r="F372">
        <v>1.1084249711180501</v>
      </c>
      <c r="G372">
        <v>1.35043429891746</v>
      </c>
      <c r="H372">
        <v>1.19408668863121</v>
      </c>
      <c r="I372">
        <v>1.28000513456848</v>
      </c>
      <c r="J372">
        <v>0.94955286466133204</v>
      </c>
      <c r="K372">
        <v>1.2910872448761299</v>
      </c>
      <c r="L372">
        <v>11543.4873534413</v>
      </c>
      <c r="M372">
        <v>250</v>
      </c>
      <c r="O372">
        <v>46.170984506987502</v>
      </c>
      <c r="P372">
        <v>0.28875930711621201</v>
      </c>
      <c r="Q372">
        <v>1.2133168704033099</v>
      </c>
      <c r="R372">
        <v>0.45871178804924601</v>
      </c>
      <c r="S372" t="s">
        <v>1698</v>
      </c>
      <c r="T372" t="s">
        <v>2650</v>
      </c>
      <c r="U372" t="s">
        <v>2650</v>
      </c>
      <c r="V372" t="s">
        <v>2650</v>
      </c>
      <c r="W372" t="s">
        <v>3022</v>
      </c>
      <c r="X372">
        <v>2</v>
      </c>
      <c r="Y372" t="s">
        <v>4337</v>
      </c>
      <c r="Z372" t="s">
        <v>5652</v>
      </c>
      <c r="AA372">
        <v>1.1693993321315981</v>
      </c>
      <c r="AB372" t="str">
        <f>HYPERLINK("Melting_Curves/meltCurve_P13671_C6.pdf", "Melting_Curves/meltCurve_P13671_C6.pdf")</f>
        <v>Melting_Curves/meltCurve_P13671_C6.pdf</v>
      </c>
    </row>
    <row r="373" spans="1:28" x14ac:dyDescent="0.25">
      <c r="A373" t="s">
        <v>377</v>
      </c>
      <c r="B373">
        <v>1</v>
      </c>
      <c r="C373">
        <v>0.87106648469487202</v>
      </c>
      <c r="D373">
        <v>1.3731721583154599</v>
      </c>
      <c r="E373">
        <v>1.73454864496003</v>
      </c>
      <c r="F373">
        <v>1.27510235913433</v>
      </c>
      <c r="G373">
        <v>1.3714174302983</v>
      </c>
      <c r="H373">
        <v>1.32715929031</v>
      </c>
      <c r="I373">
        <v>1.6262429323454901</v>
      </c>
      <c r="J373">
        <v>0.92826086956521703</v>
      </c>
      <c r="K373">
        <v>1.4506726457399099</v>
      </c>
      <c r="L373">
        <v>11350.4670956681</v>
      </c>
      <c r="M373">
        <v>250</v>
      </c>
      <c r="O373">
        <v>45.398957178983302</v>
      </c>
      <c r="P373">
        <v>0.53364297945111006</v>
      </c>
      <c r="Q373">
        <v>1.3876294054079501</v>
      </c>
      <c r="R373">
        <v>0.42639147208806</v>
      </c>
      <c r="S373" t="s">
        <v>1699</v>
      </c>
      <c r="T373" t="s">
        <v>2650</v>
      </c>
      <c r="U373" t="s">
        <v>2650</v>
      </c>
      <c r="V373" t="s">
        <v>2650</v>
      </c>
      <c r="W373" t="s">
        <v>3023</v>
      </c>
      <c r="X373">
        <v>3</v>
      </c>
      <c r="Y373" t="s">
        <v>4338</v>
      </c>
      <c r="Z373" t="s">
        <v>5653</v>
      </c>
      <c r="AA373">
        <v>1.3178010849537669</v>
      </c>
      <c r="AB373" t="str">
        <f>HYPERLINK("Melting_Curves/meltCurve_P13686_ACP5.pdf", "Melting_Curves/meltCurve_P13686_ACP5.pdf")</f>
        <v>Melting_Curves/meltCurve_P13686_ACP5.pdf</v>
      </c>
    </row>
    <row r="374" spans="1:28" x14ac:dyDescent="0.25">
      <c r="A374" t="s">
        <v>378</v>
      </c>
      <c r="B374">
        <v>1</v>
      </c>
      <c r="C374">
        <v>0.70085224457437301</v>
      </c>
      <c r="D374">
        <v>1.0856208502626099</v>
      </c>
      <c r="E374">
        <v>1.2542859974234499</v>
      </c>
      <c r="F374">
        <v>0.91337825785353299</v>
      </c>
      <c r="G374">
        <v>0.95442473491229796</v>
      </c>
      <c r="H374">
        <v>0.97690020810623301</v>
      </c>
      <c r="I374">
        <v>1.1803587355068901</v>
      </c>
      <c r="J374">
        <v>0.71262511148548202</v>
      </c>
      <c r="K374">
        <v>1.0541076206520701</v>
      </c>
      <c r="L374">
        <v>1603.9708478483701</v>
      </c>
      <c r="M374">
        <v>24.385786657360502</v>
      </c>
      <c r="O374">
        <v>65.337290408824799</v>
      </c>
      <c r="P374">
        <v>-5.9347766180467302E-3</v>
      </c>
      <c r="Q374">
        <v>0.93639631609194096</v>
      </c>
      <c r="R374">
        <v>6.8678652182180304E-3</v>
      </c>
      <c r="S374" t="s">
        <v>1700</v>
      </c>
      <c r="T374" t="s">
        <v>2650</v>
      </c>
      <c r="U374" t="s">
        <v>2650</v>
      </c>
      <c r="V374" t="s">
        <v>2650</v>
      </c>
      <c r="W374" t="s">
        <v>3024</v>
      </c>
      <c r="X374">
        <v>3</v>
      </c>
      <c r="Y374" t="s">
        <v>4339</v>
      </c>
      <c r="Z374" t="s">
        <v>5654</v>
      </c>
      <c r="AA374">
        <v>0.99035117944608875</v>
      </c>
      <c r="AB374" t="str">
        <f>HYPERLINK("Melting_Curves/meltCurve_P13693_TPT1.pdf", "Melting_Curves/meltCurve_P13693_TPT1.pdf")</f>
        <v>Melting_Curves/meltCurve_P13693_TPT1.pdf</v>
      </c>
    </row>
    <row r="375" spans="1:28" x14ac:dyDescent="0.25">
      <c r="A375" t="s">
        <v>379</v>
      </c>
      <c r="B375">
        <v>1</v>
      </c>
      <c r="C375">
        <v>0.98911338684380501</v>
      </c>
      <c r="D375">
        <v>1.1814743057477599</v>
      </c>
      <c r="E375">
        <v>1.34634191346065</v>
      </c>
      <c r="F375">
        <v>1.1430021219669699</v>
      </c>
      <c r="G375">
        <v>1.2567580035058601</v>
      </c>
      <c r="H375">
        <v>1.1396807823599999</v>
      </c>
      <c r="I375">
        <v>1.4720915213580601</v>
      </c>
      <c r="J375">
        <v>1.0643970846019</v>
      </c>
      <c r="K375">
        <v>1.3611956822585101</v>
      </c>
      <c r="L375">
        <v>11458.302752801799</v>
      </c>
      <c r="M375">
        <v>250</v>
      </c>
      <c r="O375">
        <v>45.830277949036301</v>
      </c>
      <c r="P375">
        <v>0.34745182015014497</v>
      </c>
      <c r="Q375">
        <v>1.25478101578954</v>
      </c>
      <c r="R375">
        <v>0.44979675891892001</v>
      </c>
      <c r="S375" t="s">
        <v>1701</v>
      </c>
      <c r="T375" t="s">
        <v>2650</v>
      </c>
      <c r="U375" t="s">
        <v>2650</v>
      </c>
      <c r="V375" t="s">
        <v>2650</v>
      </c>
      <c r="W375" t="s">
        <v>3025</v>
      </c>
      <c r="X375">
        <v>6</v>
      </c>
      <c r="Y375" t="s">
        <v>4340</v>
      </c>
      <c r="Z375" t="s">
        <v>5655</v>
      </c>
      <c r="AA375">
        <v>1.205220807853016</v>
      </c>
      <c r="AB375" t="str">
        <f>HYPERLINK("Melting_Curves/meltCurve_P13716_ALAD.pdf", "Melting_Curves/meltCurve_P13716_ALAD.pdf")</f>
        <v>Melting_Curves/meltCurve_P13716_ALAD.pdf</v>
      </c>
    </row>
    <row r="376" spans="1:28" x14ac:dyDescent="0.25">
      <c r="A376" t="s">
        <v>380</v>
      </c>
      <c r="B376">
        <v>1</v>
      </c>
      <c r="C376">
        <v>0.79560840131921495</v>
      </c>
      <c r="D376">
        <v>1.10145808019441</v>
      </c>
      <c r="E376">
        <v>1.1824046751142701</v>
      </c>
      <c r="F376">
        <v>0.92955505409940398</v>
      </c>
      <c r="G376">
        <v>0.96968118960828598</v>
      </c>
      <c r="H376">
        <v>0.88390325753630705</v>
      </c>
      <c r="I376">
        <v>1.0465775617659001</v>
      </c>
      <c r="J376">
        <v>0.73939709541167598</v>
      </c>
      <c r="K376">
        <v>0.953422438234103</v>
      </c>
      <c r="L376">
        <v>1237.5381777874099</v>
      </c>
      <c r="M376">
        <v>20.7611038763255</v>
      </c>
      <c r="O376">
        <v>59.063717472815902</v>
      </c>
      <c r="P376">
        <v>-1.00194533605728E-2</v>
      </c>
      <c r="Q376">
        <v>0.88598494791331095</v>
      </c>
      <c r="R376">
        <v>0.13174169444259201</v>
      </c>
      <c r="S376" t="s">
        <v>1702</v>
      </c>
      <c r="T376" t="s">
        <v>2650</v>
      </c>
      <c r="U376" t="s">
        <v>2650</v>
      </c>
      <c r="V376" t="s">
        <v>2650</v>
      </c>
      <c r="W376" t="s">
        <v>3026</v>
      </c>
      <c r="X376">
        <v>13</v>
      </c>
      <c r="Y376" t="s">
        <v>4341</v>
      </c>
      <c r="Z376" t="s">
        <v>5656</v>
      </c>
      <c r="AA376">
        <v>0.96152691965463544</v>
      </c>
      <c r="AB376" t="str">
        <f>HYPERLINK("Melting_Curves/meltCurve_P13796_LCP1.pdf", "Melting_Curves/meltCurve_P13796_LCP1.pdf")</f>
        <v>Melting_Curves/meltCurve_P13796_LCP1.pdf</v>
      </c>
    </row>
    <row r="377" spans="1:28" x14ac:dyDescent="0.25">
      <c r="A377" t="s">
        <v>381</v>
      </c>
      <c r="B377">
        <v>1</v>
      </c>
      <c r="C377">
        <v>0.94830862789813797</v>
      </c>
      <c r="D377">
        <v>1.14519194222729</v>
      </c>
      <c r="E377">
        <v>2.1114405169137198</v>
      </c>
      <c r="F377">
        <v>1.4885594830862801</v>
      </c>
      <c r="G377">
        <v>1.8508551881413899</v>
      </c>
      <c r="H377">
        <v>2.37894336754086</v>
      </c>
      <c r="I377">
        <v>3.8690992018244001</v>
      </c>
      <c r="J377">
        <v>2.8804256936526</v>
      </c>
      <c r="K377">
        <v>3.86537438236412</v>
      </c>
      <c r="L377">
        <v>11541.1019311162</v>
      </c>
      <c r="M377">
        <v>250</v>
      </c>
      <c r="O377">
        <v>46.1614535242499</v>
      </c>
      <c r="P377">
        <v>0.67697175156813805</v>
      </c>
      <c r="Q377">
        <v>1.5</v>
      </c>
      <c r="R377">
        <v>-0.33343806264077303</v>
      </c>
      <c r="S377" t="s">
        <v>1703</v>
      </c>
      <c r="T377" t="s">
        <v>2650</v>
      </c>
      <c r="U377" t="s">
        <v>2650</v>
      </c>
      <c r="V377" t="s">
        <v>2650</v>
      </c>
      <c r="W377" t="s">
        <v>3027</v>
      </c>
      <c r="X377">
        <v>1</v>
      </c>
      <c r="Y377" t="s">
        <v>4342</v>
      </c>
      <c r="Z377" t="s">
        <v>5657</v>
      </c>
      <c r="AA377">
        <v>1.3972193623503799</v>
      </c>
      <c r="AB377" t="str">
        <f>HYPERLINK("Melting_Curves/meltCurve_P13798_APEH.pdf", "Melting_Curves/meltCurve_P13798_APEH.pdf")</f>
        <v>Melting_Curves/meltCurve_P13798_APEH.pdf</v>
      </c>
    </row>
    <row r="378" spans="1:28" x14ac:dyDescent="0.25">
      <c r="A378" t="s">
        <v>382</v>
      </c>
      <c r="B378">
        <v>1</v>
      </c>
      <c r="C378">
        <v>0.87317711694105904</v>
      </c>
      <c r="D378">
        <v>1.1502922143765799</v>
      </c>
      <c r="E378">
        <v>1.4589332792537</v>
      </c>
      <c r="F378">
        <v>1.76851459228259</v>
      </c>
      <c r="G378">
        <v>1.88233992736122</v>
      </c>
      <c r="H378">
        <v>1.97618038015523</v>
      </c>
      <c r="I378">
        <v>2.5862355045076599</v>
      </c>
      <c r="J378">
        <v>1.70785936837448</v>
      </c>
      <c r="K378">
        <v>2.2505116056119898</v>
      </c>
      <c r="L378">
        <v>11538.847756998</v>
      </c>
      <c r="M378">
        <v>250</v>
      </c>
      <c r="O378">
        <v>46.152413778900197</v>
      </c>
      <c r="P378">
        <v>0.67710399876098504</v>
      </c>
      <c r="Q378">
        <v>1.5</v>
      </c>
      <c r="R378">
        <v>0.174525493614125</v>
      </c>
      <c r="S378" t="s">
        <v>1704</v>
      </c>
      <c r="T378" t="s">
        <v>2650</v>
      </c>
      <c r="U378" t="s">
        <v>2650</v>
      </c>
      <c r="V378" t="s">
        <v>2650</v>
      </c>
      <c r="W378" t="s">
        <v>3028</v>
      </c>
      <c r="X378">
        <v>2</v>
      </c>
      <c r="Y378" t="s">
        <v>4343</v>
      </c>
      <c r="Z378" t="s">
        <v>5658</v>
      </c>
      <c r="AA378">
        <v>1.397369648537008</v>
      </c>
      <c r="AB378" t="str">
        <f>HYPERLINK("Melting_Curves/meltCurve_P13861_2_PRKAR2A.pdf", "Melting_Curves/meltCurve_P13861_2_PRKAR2A.pdf")</f>
        <v>Melting_Curves/meltCurve_P13861_2_PRKAR2A.pdf</v>
      </c>
    </row>
    <row r="379" spans="1:28" x14ac:dyDescent="0.25">
      <c r="A379" t="s">
        <v>383</v>
      </c>
      <c r="B379">
        <v>1</v>
      </c>
      <c r="C379">
        <v>0.66894090329238798</v>
      </c>
      <c r="D379">
        <v>1.13813120816432</v>
      </c>
      <c r="E379">
        <v>1.3040549256812</v>
      </c>
      <c r="F379">
        <v>0.88346926197199205</v>
      </c>
      <c r="G379">
        <v>0.96760646150759</v>
      </c>
      <c r="H379">
        <v>0.91176344116846098</v>
      </c>
      <c r="I379">
        <v>1.0027376840053299</v>
      </c>
      <c r="J379">
        <v>0.57788065991084603</v>
      </c>
      <c r="K379">
        <v>0.87964223773417205</v>
      </c>
      <c r="L379">
        <v>15000</v>
      </c>
      <c r="M379">
        <v>230.577314845236</v>
      </c>
      <c r="O379">
        <v>65.049206586638107</v>
      </c>
      <c r="P379">
        <v>-0.24034329796621501</v>
      </c>
      <c r="Q379">
        <v>0.72878266811169301</v>
      </c>
      <c r="R379">
        <v>0.26192161482519799</v>
      </c>
      <c r="S379" t="s">
        <v>1705</v>
      </c>
      <c r="T379" t="s">
        <v>2650</v>
      </c>
      <c r="U379" t="s">
        <v>2650</v>
      </c>
      <c r="V379" t="s">
        <v>2650</v>
      </c>
      <c r="W379" t="s">
        <v>3029</v>
      </c>
      <c r="X379">
        <v>7</v>
      </c>
      <c r="Y379" t="s">
        <v>4344</v>
      </c>
      <c r="Z379" t="s">
        <v>5659</v>
      </c>
      <c r="AA379">
        <v>0.95532262053534178</v>
      </c>
      <c r="AB379" t="str">
        <f>HYPERLINK("Melting_Curves/meltCurve_P13987_CD59.pdf", "Melting_Curves/meltCurve_P13987_CD59.pdf")</f>
        <v>Melting_Curves/meltCurve_P13987_CD59.pdf</v>
      </c>
    </row>
    <row r="380" spans="1:28" x14ac:dyDescent="0.25">
      <c r="A380" t="s">
        <v>384</v>
      </c>
      <c r="B380">
        <v>1</v>
      </c>
      <c r="C380">
        <v>1.0308716046689199</v>
      </c>
      <c r="D380">
        <v>1.2414094032944301</v>
      </c>
      <c r="E380">
        <v>1.4694556561579599</v>
      </c>
      <c r="F380">
        <v>1.22586451401767</v>
      </c>
      <c r="G380">
        <v>1.4274026399040001</v>
      </c>
      <c r="H380">
        <v>1.25171811934111</v>
      </c>
      <c r="I380">
        <v>1.4472564634013301</v>
      </c>
      <c r="J380">
        <v>1.1518490236718699</v>
      </c>
      <c r="K380">
        <v>1.39194938365878</v>
      </c>
      <c r="L380">
        <v>2481.5672029550101</v>
      </c>
      <c r="M380">
        <v>54.964109776092897</v>
      </c>
      <c r="O380">
        <v>45.089218131932498</v>
      </c>
      <c r="P380">
        <v>0.102856402928757</v>
      </c>
      <c r="Q380">
        <v>1.33750839297672</v>
      </c>
      <c r="R380">
        <v>0.62961653171179099</v>
      </c>
      <c r="S380" t="s">
        <v>1706</v>
      </c>
      <c r="T380" t="s">
        <v>2650</v>
      </c>
      <c r="U380" t="s">
        <v>2650</v>
      </c>
      <c r="V380" t="s">
        <v>2650</v>
      </c>
      <c r="W380" t="s">
        <v>3030</v>
      </c>
      <c r="X380">
        <v>2</v>
      </c>
      <c r="Y380" t="s">
        <v>4345</v>
      </c>
      <c r="Z380" t="s">
        <v>5660</v>
      </c>
      <c r="AA380">
        <v>1.2790205798737611</v>
      </c>
      <c r="AB380" t="str">
        <f>HYPERLINK("Melting_Curves/meltCurve_P14174_MIF.pdf", "Melting_Curves/meltCurve_P14174_MIF.pdf")</f>
        <v>Melting_Curves/meltCurve_P14174_MIF.pdf</v>
      </c>
    </row>
    <row r="381" spans="1:28" x14ac:dyDescent="0.25">
      <c r="A381" t="s">
        <v>385</v>
      </c>
      <c r="B381">
        <v>1</v>
      </c>
      <c r="C381">
        <v>0.78431372549019596</v>
      </c>
      <c r="D381">
        <v>1.1757476174827499</v>
      </c>
      <c r="E381">
        <v>1.38251725271114</v>
      </c>
      <c r="F381">
        <v>1.06508927593384</v>
      </c>
      <c r="G381">
        <v>1.11473326760872</v>
      </c>
      <c r="H381">
        <v>1.0166502355132001</v>
      </c>
      <c r="I381">
        <v>1.2101654069448999</v>
      </c>
      <c r="J381">
        <v>0.74788038120276001</v>
      </c>
      <c r="K381">
        <v>1.0649140102968599</v>
      </c>
      <c r="L381">
        <v>11122.951728169901</v>
      </c>
      <c r="M381">
        <v>250</v>
      </c>
      <c r="O381">
        <v>44.488959810032</v>
      </c>
      <c r="P381">
        <v>0.13656520035487399</v>
      </c>
      <c r="Q381">
        <v>1.0972102990764601</v>
      </c>
      <c r="R381">
        <v>0.13676948245552401</v>
      </c>
      <c r="S381" t="s">
        <v>1707</v>
      </c>
      <c r="T381" t="s">
        <v>2650</v>
      </c>
      <c r="U381" t="s">
        <v>2650</v>
      </c>
      <c r="V381" t="s">
        <v>2650</v>
      </c>
      <c r="W381" t="s">
        <v>3031</v>
      </c>
      <c r="X381">
        <v>8</v>
      </c>
      <c r="Y381" t="s">
        <v>4346</v>
      </c>
      <c r="Z381" t="s">
        <v>5661</v>
      </c>
      <c r="AA381">
        <v>1.0826477122143709</v>
      </c>
      <c r="AB381" t="str">
        <f>HYPERLINK("Melting_Curves/meltCurve_P14314_2_PRKCSH.pdf", "Melting_Curves/meltCurve_P14314_2_PRKCSH.pdf")</f>
        <v>Melting_Curves/meltCurve_P14314_2_PRKCSH.pdf</v>
      </c>
    </row>
    <row r="382" spans="1:28" x14ac:dyDescent="0.25">
      <c r="A382" t="s">
        <v>386</v>
      </c>
      <c r="B382">
        <v>1</v>
      </c>
      <c r="C382">
        <v>0.66466583049632699</v>
      </c>
      <c r="D382">
        <v>1.1272621394015401</v>
      </c>
      <c r="E382">
        <v>1.46922594517112</v>
      </c>
      <c r="F382">
        <v>0.96680702383085504</v>
      </c>
      <c r="G382">
        <v>1.0120498118616701</v>
      </c>
      <c r="H382">
        <v>1.0573373947321301</v>
      </c>
      <c r="I382">
        <v>1.2731141372513901</v>
      </c>
      <c r="J382">
        <v>0.793003046049095</v>
      </c>
      <c r="K382">
        <v>1.1838828166995199</v>
      </c>
      <c r="L382">
        <v>11166.783277582699</v>
      </c>
      <c r="M382">
        <v>250</v>
      </c>
      <c r="O382">
        <v>44.664297139967502</v>
      </c>
      <c r="P382">
        <v>0.154405014645596</v>
      </c>
      <c r="Q382">
        <v>1.1103422081571099</v>
      </c>
      <c r="R382">
        <v>0.14205737042987801</v>
      </c>
      <c r="S382" t="s">
        <v>1708</v>
      </c>
      <c r="T382" t="s">
        <v>2650</v>
      </c>
      <c r="U382" t="s">
        <v>2650</v>
      </c>
      <c r="V382" t="s">
        <v>2650</v>
      </c>
      <c r="W382" t="s">
        <v>3032</v>
      </c>
      <c r="X382">
        <v>1</v>
      </c>
      <c r="Y382" t="s">
        <v>4347</v>
      </c>
      <c r="Z382" t="s">
        <v>5662</v>
      </c>
      <c r="AA382">
        <v>1.0931674993125571</v>
      </c>
      <c r="AB382" t="str">
        <f>HYPERLINK("Melting_Curves/meltCurve_P14324_2_FDPS.pdf", "Melting_Curves/meltCurve_P14324_2_FDPS.pdf")</f>
        <v>Melting_Curves/meltCurve_P14324_2_FDPS.pdf</v>
      </c>
    </row>
    <row r="383" spans="1:28" x14ac:dyDescent="0.25">
      <c r="A383" t="s">
        <v>387</v>
      </c>
      <c r="B383">
        <v>1</v>
      </c>
      <c r="C383">
        <v>0.81208053691275195</v>
      </c>
      <c r="D383">
        <v>1.1917455936774799</v>
      </c>
      <c r="E383">
        <v>1.5156808630747001</v>
      </c>
      <c r="F383">
        <v>1.23584018064354</v>
      </c>
      <c r="G383">
        <v>1.45653264755692</v>
      </c>
      <c r="H383">
        <v>1.3400551966380201</v>
      </c>
      <c r="I383">
        <v>1.85018503418428</v>
      </c>
      <c r="J383">
        <v>1.3359154487863001</v>
      </c>
      <c r="K383">
        <v>1.85714733738945</v>
      </c>
      <c r="L383">
        <v>11521.838777658</v>
      </c>
      <c r="M383">
        <v>250</v>
      </c>
      <c r="O383">
        <v>46.084389515787699</v>
      </c>
      <c r="P383">
        <v>0.67810356704304597</v>
      </c>
      <c r="Q383">
        <v>1.5</v>
      </c>
      <c r="R383">
        <v>0.58823120806340401</v>
      </c>
      <c r="S383" t="s">
        <v>1709</v>
      </c>
      <c r="T383" t="s">
        <v>2650</v>
      </c>
      <c r="U383" t="s">
        <v>2650</v>
      </c>
      <c r="V383" t="s">
        <v>2650</v>
      </c>
      <c r="W383" t="s">
        <v>3033</v>
      </c>
      <c r="X383">
        <v>8</v>
      </c>
      <c r="Y383" t="s">
        <v>4348</v>
      </c>
      <c r="Z383" t="s">
        <v>5663</v>
      </c>
      <c r="AA383">
        <v>1.3985036401939961</v>
      </c>
      <c r="AB383" t="str">
        <f>HYPERLINK("Melting_Curves/meltCurve_P14384_CPM.pdf", "Melting_Curves/meltCurve_P14384_CPM.pdf")</f>
        <v>Melting_Curves/meltCurve_P14384_CPM.pdf</v>
      </c>
    </row>
    <row r="384" spans="1:28" x14ac:dyDescent="0.25">
      <c r="A384" t="s">
        <v>388</v>
      </c>
      <c r="B384">
        <v>1</v>
      </c>
      <c r="C384">
        <v>1.1007727185644001</v>
      </c>
      <c r="D384">
        <v>1.48144836835047</v>
      </c>
      <c r="E384">
        <v>1.7191391532026301</v>
      </c>
      <c r="F384">
        <v>1.4170125806245599</v>
      </c>
      <c r="G384">
        <v>1.46535538667859</v>
      </c>
      <c r="H384">
        <v>1.23347595631905</v>
      </c>
      <c r="I384">
        <v>1.4163739702407601</v>
      </c>
      <c r="J384">
        <v>1.1059454626732199</v>
      </c>
      <c r="K384">
        <v>1.32811801519893</v>
      </c>
      <c r="L384">
        <v>10771.091677759099</v>
      </c>
      <c r="M384">
        <v>250</v>
      </c>
      <c r="O384">
        <v>43.081609734252801</v>
      </c>
      <c r="P384">
        <v>0.57428595866222099</v>
      </c>
      <c r="Q384">
        <v>1.3958586150291701</v>
      </c>
      <c r="R384">
        <v>0.45741592459472302</v>
      </c>
      <c r="S384" t="s">
        <v>1710</v>
      </c>
      <c r="T384" t="s">
        <v>2650</v>
      </c>
      <c r="U384" t="s">
        <v>2650</v>
      </c>
      <c r="V384" t="s">
        <v>2650</v>
      </c>
      <c r="W384" t="s">
        <v>3034</v>
      </c>
      <c r="X384">
        <v>2</v>
      </c>
      <c r="Y384" t="s">
        <v>4349</v>
      </c>
      <c r="Z384" t="s">
        <v>5664</v>
      </c>
      <c r="AA384">
        <v>1.35512957872129</v>
      </c>
      <c r="AB384" t="str">
        <f>HYPERLINK("Melting_Curves/meltCurve_P14543_2_NID1.pdf", "Melting_Curves/meltCurve_P14543_2_NID1.pdf")</f>
        <v>Melting_Curves/meltCurve_P14543_2_NID1.pdf</v>
      </c>
    </row>
    <row r="385" spans="1:28" x14ac:dyDescent="0.25">
      <c r="A385" t="s">
        <v>389</v>
      </c>
      <c r="B385">
        <v>1</v>
      </c>
      <c r="C385">
        <v>0.76343672562590803</v>
      </c>
      <c r="D385">
        <v>1.08096214645817</v>
      </c>
      <c r="E385">
        <v>1.40750234982483</v>
      </c>
      <c r="F385">
        <v>1.0226864906434201</v>
      </c>
      <c r="G385">
        <v>1.2554473211996899</v>
      </c>
      <c r="H385">
        <v>1.3402119114756901</v>
      </c>
      <c r="I385">
        <v>1.6662821498761</v>
      </c>
      <c r="J385">
        <v>0.98145774587712598</v>
      </c>
      <c r="K385">
        <v>1.4488592668546501</v>
      </c>
      <c r="L385">
        <v>11546.4506583649</v>
      </c>
      <c r="M385">
        <v>250</v>
      </c>
      <c r="O385">
        <v>46.182847060530499</v>
      </c>
      <c r="P385">
        <v>0.410334637152097</v>
      </c>
      <c r="Q385">
        <v>1.3032067482249301</v>
      </c>
      <c r="R385">
        <v>0.39349927271124202</v>
      </c>
      <c r="S385" t="s">
        <v>1711</v>
      </c>
      <c r="T385" t="s">
        <v>2650</v>
      </c>
      <c r="U385" t="s">
        <v>2650</v>
      </c>
      <c r="V385" t="s">
        <v>2650</v>
      </c>
      <c r="W385" t="s">
        <v>3035</v>
      </c>
      <c r="X385">
        <v>3</v>
      </c>
      <c r="Y385" t="s">
        <v>4350</v>
      </c>
      <c r="Z385" t="s">
        <v>5665</v>
      </c>
      <c r="AA385">
        <v>1.2406629349695899</v>
      </c>
      <c r="AB385" t="str">
        <f>HYPERLINK("Melting_Curves/meltCurve_P14550_AKR1A1.pdf", "Melting_Curves/meltCurve_P14550_AKR1A1.pdf")</f>
        <v>Melting_Curves/meltCurve_P14550_AKR1A1.pdf</v>
      </c>
    </row>
    <row r="386" spans="1:28" x14ac:dyDescent="0.25">
      <c r="A386" t="s">
        <v>390</v>
      </c>
      <c r="B386">
        <v>1</v>
      </c>
      <c r="C386">
        <v>0.711761743016183</v>
      </c>
      <c r="D386">
        <v>1.3894019036795</v>
      </c>
      <c r="E386">
        <v>1.6920017047876099</v>
      </c>
      <c r="F386">
        <v>1.1083573338154999</v>
      </c>
      <c r="G386">
        <v>1.2599930258688601</v>
      </c>
      <c r="H386">
        <v>1.21346007309923</v>
      </c>
      <c r="I386">
        <v>1.3451032558860401</v>
      </c>
      <c r="J386">
        <v>0.71056064265326901</v>
      </c>
      <c r="K386">
        <v>1.1439512327422501</v>
      </c>
      <c r="L386">
        <v>11114.0887166706</v>
      </c>
      <c r="M386">
        <v>250</v>
      </c>
      <c r="O386">
        <v>44.453509936271203</v>
      </c>
      <c r="P386">
        <v>0.32738087700741397</v>
      </c>
      <c r="Q386">
        <v>1.2328516649282599</v>
      </c>
      <c r="R386">
        <v>0.22821622863374399</v>
      </c>
      <c r="S386" t="s">
        <v>1712</v>
      </c>
      <c r="T386" t="s">
        <v>2650</v>
      </c>
      <c r="U386" t="s">
        <v>2650</v>
      </c>
      <c r="V386" t="s">
        <v>2650</v>
      </c>
      <c r="W386" t="s">
        <v>3036</v>
      </c>
      <c r="X386">
        <v>6</v>
      </c>
      <c r="Y386" t="s">
        <v>4351</v>
      </c>
      <c r="Z386" t="s">
        <v>5666</v>
      </c>
      <c r="AA386">
        <v>1.1982445094516481</v>
      </c>
      <c r="AB386" t="str">
        <f>HYPERLINK("Melting_Curves/meltCurve_P14555_PLA2G2A.pdf", "Melting_Curves/meltCurve_P14555_PLA2G2A.pdf")</f>
        <v>Melting_Curves/meltCurve_P14555_PLA2G2A.pdf</v>
      </c>
    </row>
    <row r="387" spans="1:28" x14ac:dyDescent="0.25">
      <c r="A387" t="s">
        <v>391</v>
      </c>
      <c r="B387">
        <v>1</v>
      </c>
      <c r="C387">
        <v>0.83847846142928095</v>
      </c>
      <c r="D387">
        <v>1.1661698956780899</v>
      </c>
      <c r="E387">
        <v>1.4363423461784099</v>
      </c>
      <c r="F387">
        <v>1.2248243559719001</v>
      </c>
      <c r="G387">
        <v>1.43478106592861</v>
      </c>
      <c r="H387">
        <v>1.4371939535874001</v>
      </c>
      <c r="I387">
        <v>1.9645873252430599</v>
      </c>
      <c r="J387">
        <v>1.37765240224257</v>
      </c>
      <c r="K387">
        <v>1.8530977219501801</v>
      </c>
      <c r="L387">
        <v>1002.14004661562</v>
      </c>
      <c r="M387">
        <v>20.607529740223001</v>
      </c>
      <c r="O387">
        <v>48.178823899012897</v>
      </c>
      <c r="P387">
        <v>5.3467809295131001E-2</v>
      </c>
      <c r="Q387">
        <v>1.5</v>
      </c>
      <c r="R387">
        <v>0.57869063537221599</v>
      </c>
      <c r="S387" t="s">
        <v>1713</v>
      </c>
      <c r="T387" t="s">
        <v>2650</v>
      </c>
      <c r="U387" t="s">
        <v>2650</v>
      </c>
      <c r="V387" t="s">
        <v>2650</v>
      </c>
      <c r="W387" t="s">
        <v>3037</v>
      </c>
      <c r="X387">
        <v>13</v>
      </c>
      <c r="Y387" t="s">
        <v>4352</v>
      </c>
      <c r="Z387" t="s">
        <v>5667</v>
      </c>
      <c r="AA387">
        <v>1.34955964593517</v>
      </c>
      <c r="AB387" t="str">
        <f>HYPERLINK("Melting_Curves/meltCurve_P14618_PKM.pdf", "Melting_Curves/meltCurve_P14618_PKM.pdf")</f>
        <v>Melting_Curves/meltCurve_P14618_PKM.pdf</v>
      </c>
    </row>
    <row r="388" spans="1:28" x14ac:dyDescent="0.25">
      <c r="A388" t="s">
        <v>392</v>
      </c>
      <c r="B388">
        <v>1</v>
      </c>
      <c r="C388">
        <v>0.74200330734703501</v>
      </c>
      <c r="D388">
        <v>0.91889125127962801</v>
      </c>
      <c r="E388">
        <v>1.07417906921805</v>
      </c>
      <c r="F388">
        <v>0.91487518702259996</v>
      </c>
      <c r="G388">
        <v>1.0743365619340099</v>
      </c>
      <c r="H388">
        <v>0.90786676116229603</v>
      </c>
      <c r="I388">
        <v>1.1115048429010199</v>
      </c>
      <c r="J388">
        <v>0.74064886998976298</v>
      </c>
      <c r="K388">
        <v>0.95897314749192897</v>
      </c>
      <c r="L388">
        <v>1.0000000000000001E-5</v>
      </c>
      <c r="M388">
        <v>1.0000000000000001E-5</v>
      </c>
      <c r="Q388">
        <v>0.88865634535824001</v>
      </c>
      <c r="R388">
        <v>-1.37631350760614E-9</v>
      </c>
      <c r="S388" t="s">
        <v>1714</v>
      </c>
      <c r="T388" t="s">
        <v>2650</v>
      </c>
      <c r="U388" t="s">
        <v>2650</v>
      </c>
      <c r="V388" t="s">
        <v>2650</v>
      </c>
      <c r="W388" t="s">
        <v>3038</v>
      </c>
      <c r="X388">
        <v>5</v>
      </c>
      <c r="Y388" t="s">
        <v>4353</v>
      </c>
      <c r="Z388" t="s">
        <v>5668</v>
      </c>
      <c r="AA388">
        <v>0.94432789951245577</v>
      </c>
      <c r="AB388" t="str">
        <f>HYPERLINK("Melting_Curves/meltCurve_P14625_HSP90B1.pdf", "Melting_Curves/meltCurve_P14625_HSP90B1.pdf")</f>
        <v>Melting_Curves/meltCurve_P14625_HSP90B1.pdf</v>
      </c>
    </row>
    <row r="389" spans="1:28" x14ac:dyDescent="0.25">
      <c r="A389" t="s">
        <v>393</v>
      </c>
      <c r="B389">
        <v>1</v>
      </c>
      <c r="C389">
        <v>0.78542890716803804</v>
      </c>
      <c r="D389">
        <v>1.2030216551955699</v>
      </c>
      <c r="E389">
        <v>1.3919758267584399</v>
      </c>
      <c r="F389">
        <v>1.0920597616249801</v>
      </c>
      <c r="G389">
        <v>1.1447037099210999</v>
      </c>
      <c r="H389">
        <v>0.99869061608192</v>
      </c>
      <c r="I389">
        <v>1.1527278831626699</v>
      </c>
      <c r="J389">
        <v>0.78113144200100704</v>
      </c>
      <c r="K389">
        <v>0.97874769179117005</v>
      </c>
      <c r="L389">
        <v>1864.1982997226901</v>
      </c>
      <c r="M389">
        <v>27.837844089924001</v>
      </c>
      <c r="O389">
        <v>66.623613120808798</v>
      </c>
      <c r="P389">
        <v>-1.0675290539159501E-2</v>
      </c>
      <c r="Q389">
        <v>0.89780526828398299</v>
      </c>
      <c r="R389">
        <v>-5.8549897316548999E-2</v>
      </c>
      <c r="S389" t="s">
        <v>1715</v>
      </c>
      <c r="T389" t="s">
        <v>2650</v>
      </c>
      <c r="U389" t="s">
        <v>2650</v>
      </c>
      <c r="V389" t="s">
        <v>2650</v>
      </c>
      <c r="W389" t="s">
        <v>3039</v>
      </c>
      <c r="X389">
        <v>2</v>
      </c>
      <c r="Y389" t="s">
        <v>4354</v>
      </c>
      <c r="Z389" t="s">
        <v>5669</v>
      </c>
      <c r="AA389">
        <v>0.98809424799986512</v>
      </c>
      <c r="AB389" t="str">
        <f>HYPERLINK("Melting_Curves/meltCurve_P14778_IL1R1.pdf", "Melting_Curves/meltCurve_P14778_IL1R1.pdf")</f>
        <v>Melting_Curves/meltCurve_P14778_IL1R1.pdf</v>
      </c>
    </row>
    <row r="390" spans="1:28" x14ac:dyDescent="0.25">
      <c r="A390" t="s">
        <v>394</v>
      </c>
      <c r="B390">
        <v>1</v>
      </c>
      <c r="C390">
        <v>0.95634269436789798</v>
      </c>
      <c r="D390">
        <v>1.3291327367867001</v>
      </c>
      <c r="E390">
        <v>1.8065145369539</v>
      </c>
      <c r="F390">
        <v>1.46056909310462</v>
      </c>
      <c r="G390">
        <v>1.40170913707155</v>
      </c>
      <c r="H390">
        <v>1.3529739604297599</v>
      </c>
      <c r="I390">
        <v>1.7130074000681199</v>
      </c>
      <c r="J390">
        <v>1.06037712481035</v>
      </c>
      <c r="K390">
        <v>1.4005015945753501</v>
      </c>
      <c r="L390">
        <v>11456.3361163379</v>
      </c>
      <c r="M390">
        <v>250</v>
      </c>
      <c r="O390">
        <v>45.822411852060704</v>
      </c>
      <c r="P390">
        <v>0.62267815163143603</v>
      </c>
      <c r="Q390">
        <v>1.45652183585874</v>
      </c>
      <c r="R390">
        <v>0.494016200121628</v>
      </c>
      <c r="S390" t="s">
        <v>1716</v>
      </c>
      <c r="T390" t="s">
        <v>2650</v>
      </c>
      <c r="U390" t="s">
        <v>2650</v>
      </c>
      <c r="V390" t="s">
        <v>2650</v>
      </c>
      <c r="W390" t="s">
        <v>3040</v>
      </c>
      <c r="X390">
        <v>4</v>
      </c>
      <c r="Y390" t="s">
        <v>4355</v>
      </c>
      <c r="Z390" t="s">
        <v>5670</v>
      </c>
      <c r="AA390">
        <v>1.3678385561154121</v>
      </c>
      <c r="AB390" t="str">
        <f>HYPERLINK("Melting_Curves/meltCurve_P14780_MMP9.pdf", "Melting_Curves/meltCurve_P14780_MMP9.pdf")</f>
        <v>Melting_Curves/meltCurve_P14780_MMP9.pdf</v>
      </c>
    </row>
    <row r="391" spans="1:28" x14ac:dyDescent="0.25">
      <c r="A391" t="s">
        <v>395</v>
      </c>
      <c r="B391">
        <v>1</v>
      </c>
      <c r="C391">
        <v>0.66770531335519001</v>
      </c>
      <c r="D391">
        <v>2.2513073400709902</v>
      </c>
      <c r="E391">
        <v>2.4358522773457598</v>
      </c>
      <c r="F391">
        <v>1.16498225268919</v>
      </c>
      <c r="G391">
        <v>2.9273579537757102</v>
      </c>
      <c r="H391">
        <v>1.6247866258433401</v>
      </c>
      <c r="I391">
        <v>1.4126046549435101</v>
      </c>
      <c r="J391">
        <v>1.2059771858996899</v>
      </c>
      <c r="K391">
        <v>1.03153873248977</v>
      </c>
      <c r="L391">
        <v>11082.3533023582</v>
      </c>
      <c r="M391">
        <v>250</v>
      </c>
      <c r="O391">
        <v>44.326585048340299</v>
      </c>
      <c r="P391">
        <v>0.70499466778917197</v>
      </c>
      <c r="Q391">
        <v>1.5</v>
      </c>
      <c r="R391">
        <v>0.16217390793398201</v>
      </c>
      <c r="S391" t="s">
        <v>1717</v>
      </c>
      <c r="T391" t="s">
        <v>2650</v>
      </c>
      <c r="U391" t="s">
        <v>2650</v>
      </c>
      <c r="V391" t="s">
        <v>2650</v>
      </c>
      <c r="W391" t="s">
        <v>3041</v>
      </c>
      <c r="X391">
        <v>5</v>
      </c>
      <c r="Y391" t="s">
        <v>4356</v>
      </c>
      <c r="Z391" t="s">
        <v>5671</v>
      </c>
      <c r="AA391">
        <v>1.4278042144609839</v>
      </c>
      <c r="AB391" t="str">
        <f>HYPERLINK("Melting_Curves/meltCurve_P14923_JUP.pdf", "Melting_Curves/meltCurve_P14923_JUP.pdf")</f>
        <v>Melting_Curves/meltCurve_P14923_JUP.pdf</v>
      </c>
    </row>
    <row r="392" spans="1:28" x14ac:dyDescent="0.25">
      <c r="A392" t="s">
        <v>396</v>
      </c>
      <c r="B392">
        <v>1</v>
      </c>
      <c r="C392">
        <v>0.77580633311292302</v>
      </c>
      <c r="D392">
        <v>1.2150833884358201</v>
      </c>
      <c r="E392">
        <v>1.75394901182867</v>
      </c>
      <c r="F392">
        <v>1.8916685034163501</v>
      </c>
      <c r="G392">
        <v>2.4814120931599399</v>
      </c>
      <c r="H392">
        <v>2.35680699434281</v>
      </c>
      <c r="I392">
        <v>3.05870252002057</v>
      </c>
      <c r="J392">
        <v>2.3711336419072802</v>
      </c>
      <c r="K392">
        <v>2.9861509073543502</v>
      </c>
      <c r="L392">
        <v>11512.933856965299</v>
      </c>
      <c r="M392">
        <v>250</v>
      </c>
      <c r="O392">
        <v>46.048788282671801</v>
      </c>
      <c r="P392">
        <v>0.678628061830306</v>
      </c>
      <c r="Q392">
        <v>1.5</v>
      </c>
      <c r="R392">
        <v>-0.27467832690347599</v>
      </c>
      <c r="S392" t="s">
        <v>1718</v>
      </c>
      <c r="T392" t="s">
        <v>2650</v>
      </c>
      <c r="U392" t="s">
        <v>2650</v>
      </c>
      <c r="V392" t="s">
        <v>2650</v>
      </c>
      <c r="W392" t="s">
        <v>3042</v>
      </c>
      <c r="X392">
        <v>15</v>
      </c>
      <c r="Y392" t="s">
        <v>4357</v>
      </c>
      <c r="Z392" t="s">
        <v>5672</v>
      </c>
      <c r="AA392">
        <v>1.399097332829504</v>
      </c>
      <c r="AB392" t="str">
        <f>HYPERLINK("Melting_Curves/meltCurve_P15121_AKR1B1.pdf", "Melting_Curves/meltCurve_P15121_AKR1B1.pdf")</f>
        <v>Melting_Curves/meltCurve_P15121_AKR1B1.pdf</v>
      </c>
    </row>
    <row r="393" spans="1:28" x14ac:dyDescent="0.25">
      <c r="A393" t="s">
        <v>397</v>
      </c>
      <c r="B393">
        <v>1</v>
      </c>
      <c r="C393">
        <v>0.95892456328681597</v>
      </c>
      <c r="D393">
        <v>1.75602615399629</v>
      </c>
      <c r="E393">
        <v>2.5959793110178602</v>
      </c>
      <c r="F393">
        <v>2.0614814091929299</v>
      </c>
      <c r="G393">
        <v>2.2875963696691701</v>
      </c>
      <c r="H393">
        <v>1.8731336000780701</v>
      </c>
      <c r="I393">
        <v>2.3553235093197999</v>
      </c>
      <c r="J393">
        <v>1.6283790377671501</v>
      </c>
      <c r="K393">
        <v>2.1934224651117402</v>
      </c>
      <c r="L393">
        <v>11060.0080027931</v>
      </c>
      <c r="M393">
        <v>250</v>
      </c>
      <c r="O393">
        <v>44.237202098517898</v>
      </c>
      <c r="P393">
        <v>0.70641901771489801</v>
      </c>
      <c r="Q393">
        <v>1.5</v>
      </c>
      <c r="R393">
        <v>-0.30533396024251402</v>
      </c>
      <c r="S393" t="s">
        <v>1719</v>
      </c>
      <c r="T393" t="s">
        <v>2650</v>
      </c>
      <c r="U393" t="s">
        <v>2650</v>
      </c>
      <c r="V393" t="s">
        <v>2650</v>
      </c>
      <c r="W393" t="s">
        <v>3043</v>
      </c>
      <c r="X393">
        <v>26</v>
      </c>
      <c r="Y393" t="s">
        <v>4358</v>
      </c>
      <c r="Z393" t="s">
        <v>5673</v>
      </c>
      <c r="AA393">
        <v>1.4292939795299591</v>
      </c>
      <c r="AB393" t="str">
        <f>HYPERLINK("Melting_Curves/meltCurve_P15144_ANPEP.pdf", "Melting_Curves/meltCurve_P15144_ANPEP.pdf")</f>
        <v>Melting_Curves/meltCurve_P15144_ANPEP.pdf</v>
      </c>
    </row>
    <row r="394" spans="1:28" x14ac:dyDescent="0.25">
      <c r="A394" t="s">
        <v>398</v>
      </c>
      <c r="B394">
        <v>1</v>
      </c>
      <c r="C394">
        <v>0.78222524771197299</v>
      </c>
      <c r="D394">
        <v>1.1666137205960201</v>
      </c>
      <c r="E394">
        <v>1.37100068073519</v>
      </c>
      <c r="F394">
        <v>1.03744043567052</v>
      </c>
      <c r="G394">
        <v>1.1830270024960301</v>
      </c>
      <c r="H394">
        <v>1.03571590651237</v>
      </c>
      <c r="I394">
        <v>1.18850313894562</v>
      </c>
      <c r="J394">
        <v>0.83350729899402498</v>
      </c>
      <c r="K394">
        <v>1.0845775659935</v>
      </c>
      <c r="L394">
        <v>11131.526302590601</v>
      </c>
      <c r="M394">
        <v>250</v>
      </c>
      <c r="O394">
        <v>44.523257515467002</v>
      </c>
      <c r="P394">
        <v>0.15806657154206799</v>
      </c>
      <c r="Q394">
        <v>1.11260221433007</v>
      </c>
      <c r="R394">
        <v>0.20062419787189401</v>
      </c>
      <c r="S394" t="s">
        <v>1720</v>
      </c>
      <c r="T394" t="s">
        <v>2650</v>
      </c>
      <c r="U394" t="s">
        <v>2650</v>
      </c>
      <c r="V394" t="s">
        <v>2650</v>
      </c>
      <c r="W394" t="s">
        <v>3044</v>
      </c>
      <c r="X394">
        <v>3</v>
      </c>
      <c r="Y394" t="s">
        <v>4359</v>
      </c>
      <c r="Z394" t="s">
        <v>5674</v>
      </c>
      <c r="AA394">
        <v>1.095605099665192</v>
      </c>
      <c r="AB394" t="str">
        <f>HYPERLINK("Melting_Curves/meltCurve_P15151_3_PVR.pdf", "Melting_Curves/meltCurve_P15151_3_PVR.pdf")</f>
        <v>Melting_Curves/meltCurve_P15151_3_PVR.pdf</v>
      </c>
    </row>
    <row r="395" spans="1:28" x14ac:dyDescent="0.25">
      <c r="A395" t="s">
        <v>399</v>
      </c>
      <c r="B395">
        <v>1</v>
      </c>
      <c r="C395">
        <v>0.69759749876583799</v>
      </c>
      <c r="D395">
        <v>1.09428994569689</v>
      </c>
      <c r="E395">
        <v>1.32952114530196</v>
      </c>
      <c r="F395">
        <v>0.97852558828369296</v>
      </c>
      <c r="G395">
        <v>1.0283857166365</v>
      </c>
      <c r="H395">
        <v>0.93483626789534302</v>
      </c>
      <c r="I395">
        <v>1.07931545170314</v>
      </c>
      <c r="J395">
        <v>0.639731775547145</v>
      </c>
      <c r="K395">
        <v>0.98263946025999704</v>
      </c>
      <c r="L395">
        <v>15000</v>
      </c>
      <c r="M395">
        <v>229.51096138845</v>
      </c>
      <c r="O395">
        <v>65.351393736923299</v>
      </c>
      <c r="P395">
        <v>-0.16553053651220201</v>
      </c>
      <c r="Q395">
        <v>0.81146606509504104</v>
      </c>
      <c r="R395">
        <v>0.189140854508621</v>
      </c>
      <c r="S395" t="s">
        <v>1721</v>
      </c>
      <c r="T395" t="s">
        <v>2650</v>
      </c>
      <c r="U395" t="s">
        <v>2650</v>
      </c>
      <c r="V395" t="s">
        <v>2650</v>
      </c>
      <c r="W395" t="s">
        <v>3045</v>
      </c>
      <c r="X395">
        <v>1</v>
      </c>
      <c r="Y395" t="s">
        <v>4360</v>
      </c>
      <c r="Z395" t="s">
        <v>5675</v>
      </c>
      <c r="AA395">
        <v>0.9708428400622815</v>
      </c>
      <c r="AB395" t="str">
        <f>HYPERLINK("Melting_Curves/meltCurve_P15170_GSPT1.pdf", "Melting_Curves/meltCurve_P15170_GSPT1.pdf")</f>
        <v>Melting_Curves/meltCurve_P15170_GSPT1.pdf</v>
      </c>
    </row>
    <row r="396" spans="1:28" x14ac:dyDescent="0.25">
      <c r="A396" t="s">
        <v>400</v>
      </c>
      <c r="B396">
        <v>1</v>
      </c>
      <c r="C396">
        <v>0.89071038251366097</v>
      </c>
      <c r="D396">
        <v>1.2914910226385601</v>
      </c>
      <c r="E396">
        <v>1.5309914129586299</v>
      </c>
      <c r="F396">
        <v>1.19086651053864</v>
      </c>
      <c r="G396">
        <v>1.25027322404372</v>
      </c>
      <c r="H396">
        <v>1.2175644028103001</v>
      </c>
      <c r="I396">
        <v>1.53606557377049</v>
      </c>
      <c r="J396">
        <v>1.0566744730679201</v>
      </c>
      <c r="K396">
        <v>1.44707259953162</v>
      </c>
      <c r="L396">
        <v>11390.575928295801</v>
      </c>
      <c r="M396">
        <v>250</v>
      </c>
      <c r="O396">
        <v>45.559386770929898</v>
      </c>
      <c r="P396">
        <v>0.436931358085417</v>
      </c>
      <c r="Q396">
        <v>1.3185012041840201</v>
      </c>
      <c r="R396">
        <v>0.49168973394902998</v>
      </c>
      <c r="S396" t="s">
        <v>1722</v>
      </c>
      <c r="T396" t="s">
        <v>2650</v>
      </c>
      <c r="U396" t="s">
        <v>2650</v>
      </c>
      <c r="V396" t="s">
        <v>2650</v>
      </c>
      <c r="W396" t="s">
        <v>3046</v>
      </c>
      <c r="X396">
        <v>10</v>
      </c>
      <c r="Y396" t="s">
        <v>4361</v>
      </c>
      <c r="Z396" t="s">
        <v>5676</v>
      </c>
      <c r="AA396">
        <v>1.259422388777045</v>
      </c>
      <c r="AB396" t="str">
        <f>HYPERLINK("Melting_Curves/meltCurve_P15289_ARSA.pdf", "Melting_Curves/meltCurve_P15289_ARSA.pdf")</f>
        <v>Melting_Curves/meltCurve_P15289_ARSA.pdf</v>
      </c>
    </row>
    <row r="397" spans="1:28" x14ac:dyDescent="0.25">
      <c r="A397" t="s">
        <v>401</v>
      </c>
      <c r="B397">
        <v>1</v>
      </c>
      <c r="C397">
        <v>0.78220967172608502</v>
      </c>
      <c r="D397">
        <v>1.2059789839528601</v>
      </c>
      <c r="E397">
        <v>1.5628716500583799</v>
      </c>
      <c r="F397">
        <v>1.8522631621819801</v>
      </c>
      <c r="G397">
        <v>4.1388579651904696</v>
      </c>
      <c r="H397">
        <v>5.0639441744277596</v>
      </c>
      <c r="I397">
        <v>6.5114447853593598</v>
      </c>
      <c r="J397">
        <v>5.0595997719188697</v>
      </c>
      <c r="K397">
        <v>6.1505878519644801</v>
      </c>
      <c r="L397">
        <v>11033.894005419501</v>
      </c>
      <c r="M397">
        <v>239.511377425744</v>
      </c>
      <c r="O397">
        <v>46.065149678238598</v>
      </c>
      <c r="P397">
        <v>0.64992580752682705</v>
      </c>
      <c r="Q397">
        <v>1.5</v>
      </c>
      <c r="R397">
        <v>-0.70557607596872596</v>
      </c>
      <c r="S397" t="s">
        <v>1723</v>
      </c>
      <c r="T397" t="s">
        <v>2650</v>
      </c>
      <c r="U397" t="s">
        <v>2650</v>
      </c>
      <c r="V397" t="s">
        <v>2650</v>
      </c>
      <c r="W397" t="s">
        <v>3047</v>
      </c>
      <c r="X397">
        <v>4</v>
      </c>
      <c r="Y397" t="s">
        <v>4362</v>
      </c>
      <c r="Z397" t="s">
        <v>5677</v>
      </c>
      <c r="AA397">
        <v>1.3988167869236079</v>
      </c>
      <c r="AB397" t="str">
        <f>HYPERLINK("Melting_Curves/meltCurve_P15291_2_B4GALT1.pdf", "Melting_Curves/meltCurve_P15291_2_B4GALT1.pdf")</f>
        <v>Melting_Curves/meltCurve_P15291_2_B4GALT1.pdf</v>
      </c>
    </row>
    <row r="398" spans="1:28" x14ac:dyDescent="0.25">
      <c r="A398" t="s">
        <v>402</v>
      </c>
      <c r="B398">
        <v>1</v>
      </c>
      <c r="C398">
        <v>0.77496974442941602</v>
      </c>
      <c r="D398">
        <v>1.2406207731188199</v>
      </c>
      <c r="E398">
        <v>1.6367195842528699</v>
      </c>
      <c r="F398">
        <v>1.4322631166797199</v>
      </c>
      <c r="G398">
        <v>1.9169929522317899</v>
      </c>
      <c r="H398">
        <v>3.8165444578913599</v>
      </c>
      <c r="I398">
        <v>6.2297999572862501</v>
      </c>
      <c r="J398">
        <v>4.1877981063572296</v>
      </c>
      <c r="K398">
        <v>6.0266249021143299</v>
      </c>
      <c r="L398">
        <v>11177.641364966499</v>
      </c>
      <c r="M398">
        <v>242.917133724107</v>
      </c>
      <c r="O398">
        <v>46.0110967280254</v>
      </c>
      <c r="P398">
        <v>0.65994170683582998</v>
      </c>
      <c r="Q398">
        <v>1.5</v>
      </c>
      <c r="R398">
        <v>-0.431755434025336</v>
      </c>
      <c r="S398" t="s">
        <v>1724</v>
      </c>
      <c r="T398" t="s">
        <v>2650</v>
      </c>
      <c r="U398" t="s">
        <v>2650</v>
      </c>
      <c r="V398" t="s">
        <v>2650</v>
      </c>
      <c r="W398" t="s">
        <v>3048</v>
      </c>
      <c r="X398">
        <v>18</v>
      </c>
      <c r="Y398" t="s">
        <v>4363</v>
      </c>
      <c r="Z398" t="s">
        <v>5678</v>
      </c>
      <c r="AA398">
        <v>1.399720306677023</v>
      </c>
      <c r="AB398" t="str">
        <f>HYPERLINK("Melting_Curves/meltCurve_P15309_ACPP.pdf", "Melting_Curves/meltCurve_P15309_ACPP.pdf")</f>
        <v>Melting_Curves/meltCurve_P15309_ACPP.pdf</v>
      </c>
    </row>
    <row r="399" spans="1:28" x14ac:dyDescent="0.25">
      <c r="A399" t="s">
        <v>403</v>
      </c>
      <c r="B399">
        <v>1</v>
      </c>
      <c r="C399">
        <v>0.77264335074115098</v>
      </c>
      <c r="D399">
        <v>1.13161365194915</v>
      </c>
      <c r="E399">
        <v>1.4228517170438399</v>
      </c>
      <c r="F399">
        <v>1.2337395157461599</v>
      </c>
      <c r="G399">
        <v>2.6393944189481502</v>
      </c>
      <c r="H399">
        <v>3.05570501661655</v>
      </c>
      <c r="I399">
        <v>3.9011974468534101</v>
      </c>
      <c r="J399">
        <v>2.73772221343039</v>
      </c>
      <c r="K399">
        <v>3.6189270454185798</v>
      </c>
      <c r="L399">
        <v>1861.11244559078</v>
      </c>
      <c r="M399">
        <v>38.978200343925998</v>
      </c>
      <c r="O399">
        <v>47.622361494047901</v>
      </c>
      <c r="P399">
        <v>0.102310892493248</v>
      </c>
      <c r="Q399">
        <v>1.5</v>
      </c>
      <c r="R399">
        <v>-0.275436827925995</v>
      </c>
      <c r="S399" t="s">
        <v>1725</v>
      </c>
      <c r="T399" t="s">
        <v>2650</v>
      </c>
      <c r="U399" t="s">
        <v>2650</v>
      </c>
      <c r="V399" t="s">
        <v>2650</v>
      </c>
      <c r="W399" t="s">
        <v>3049</v>
      </c>
      <c r="X399">
        <v>11</v>
      </c>
      <c r="Y399" t="s">
        <v>4364</v>
      </c>
      <c r="Z399" t="s">
        <v>5679</v>
      </c>
      <c r="AA399">
        <v>1.3691284089990641</v>
      </c>
      <c r="AB399" t="str">
        <f>HYPERLINK("Melting_Curves/meltCurve_P15311_EZR.pdf", "Melting_Curves/meltCurve_P15311_EZR.pdf")</f>
        <v>Melting_Curves/meltCurve_P15311_EZR.pdf</v>
      </c>
    </row>
    <row r="400" spans="1:28" x14ac:dyDescent="0.25">
      <c r="A400" t="s">
        <v>404</v>
      </c>
      <c r="B400">
        <v>1</v>
      </c>
      <c r="C400">
        <v>0.785088679658419</v>
      </c>
      <c r="D400">
        <v>1.15798116925772</v>
      </c>
      <c r="E400">
        <v>1.2195095248522001</v>
      </c>
      <c r="F400">
        <v>0.75990803590978795</v>
      </c>
      <c r="G400">
        <v>0.90535362382307905</v>
      </c>
      <c r="H400">
        <v>0.73987300197065897</v>
      </c>
      <c r="I400">
        <v>0.81820670024085795</v>
      </c>
      <c r="J400">
        <v>0.54806218524195305</v>
      </c>
      <c r="K400">
        <v>0.91608276768119101</v>
      </c>
      <c r="L400">
        <v>7088.7581145129798</v>
      </c>
      <c r="M400">
        <v>136.73916819622201</v>
      </c>
      <c r="O400">
        <v>51.8303734383706</v>
      </c>
      <c r="P400">
        <v>-0.145115870079284</v>
      </c>
      <c r="Q400">
        <v>0.77997790334311201</v>
      </c>
      <c r="R400">
        <v>0.42031786208391397</v>
      </c>
      <c r="S400" t="s">
        <v>1726</v>
      </c>
      <c r="T400" t="s">
        <v>2650</v>
      </c>
      <c r="U400" t="s">
        <v>2650</v>
      </c>
      <c r="V400" t="s">
        <v>2650</v>
      </c>
      <c r="W400" t="s">
        <v>3050</v>
      </c>
      <c r="X400">
        <v>1</v>
      </c>
      <c r="Y400" t="s">
        <v>4365</v>
      </c>
      <c r="Z400" t="s">
        <v>5680</v>
      </c>
      <c r="AA400">
        <v>0.86689094614406759</v>
      </c>
      <c r="AB400" t="str">
        <f>HYPERLINK("Melting_Curves/meltCurve_P15328_FOLR1.pdf", "Melting_Curves/meltCurve_P15328_FOLR1.pdf")</f>
        <v>Melting_Curves/meltCurve_P15328_FOLR1.pdf</v>
      </c>
    </row>
    <row r="401" spans="1:28" x14ac:dyDescent="0.25">
      <c r="A401" t="s">
        <v>405</v>
      </c>
      <c r="B401">
        <v>1</v>
      </c>
      <c r="C401">
        <v>0.85314178789159201</v>
      </c>
      <c r="D401">
        <v>1.39409669825557</v>
      </c>
      <c r="E401">
        <v>2.0735800084505298</v>
      </c>
      <c r="F401">
        <v>1.7161827729824399</v>
      </c>
      <c r="G401">
        <v>1.99837025411964</v>
      </c>
      <c r="H401">
        <v>1.64598297820969</v>
      </c>
      <c r="I401">
        <v>2.0223939156153801</v>
      </c>
      <c r="J401">
        <v>1.4286835274944201</v>
      </c>
      <c r="K401">
        <v>1.8933421862739199</v>
      </c>
      <c r="L401">
        <v>11439.5528149479</v>
      </c>
      <c r="M401">
        <v>250</v>
      </c>
      <c r="O401">
        <v>45.755283055711999</v>
      </c>
      <c r="P401">
        <v>0.68298124198745103</v>
      </c>
      <c r="Q401">
        <v>1.5</v>
      </c>
      <c r="R401">
        <v>0.33454865873975098</v>
      </c>
      <c r="S401" t="s">
        <v>1727</v>
      </c>
      <c r="T401" t="s">
        <v>2650</v>
      </c>
      <c r="U401" t="s">
        <v>2650</v>
      </c>
      <c r="V401" t="s">
        <v>2650</v>
      </c>
      <c r="W401" t="s">
        <v>3051</v>
      </c>
      <c r="X401">
        <v>7</v>
      </c>
      <c r="Y401" t="s">
        <v>4366</v>
      </c>
      <c r="Z401" t="s">
        <v>5681</v>
      </c>
      <c r="AA401">
        <v>1.4039896598624999</v>
      </c>
      <c r="AB401" t="str">
        <f>HYPERLINK("Melting_Curves/meltCurve_P15586_2_GNS.pdf", "Melting_Curves/meltCurve_P15586_2_GNS.pdf")</f>
        <v>Melting_Curves/meltCurve_P15586_2_GNS.pdf</v>
      </c>
    </row>
    <row r="402" spans="1:28" x14ac:dyDescent="0.25">
      <c r="A402" t="s">
        <v>406</v>
      </c>
      <c r="B402">
        <v>1</v>
      </c>
      <c r="C402">
        <v>0.80270886297887301</v>
      </c>
      <c r="D402">
        <v>1.0960229099091201</v>
      </c>
      <c r="E402">
        <v>1.3068437509131801</v>
      </c>
      <c r="F402">
        <v>1.09596446626341</v>
      </c>
      <c r="G402">
        <v>1.13030010812074</v>
      </c>
      <c r="H402">
        <v>0.95764296776832902</v>
      </c>
      <c r="I402">
        <v>1.1386283276350799</v>
      </c>
      <c r="J402">
        <v>0.76057099441863196</v>
      </c>
      <c r="K402">
        <v>0.994360188188539</v>
      </c>
      <c r="L402">
        <v>1665.3016447154901</v>
      </c>
      <c r="M402">
        <v>25.059212171580999</v>
      </c>
      <c r="O402">
        <v>66.035806132634704</v>
      </c>
      <c r="P402">
        <v>-9.4521534284563394E-3</v>
      </c>
      <c r="Q402">
        <v>0.90036841505493503</v>
      </c>
      <c r="R402">
        <v>8.1669534431009199E-3</v>
      </c>
      <c r="S402" t="s">
        <v>1728</v>
      </c>
      <c r="T402" t="s">
        <v>2650</v>
      </c>
      <c r="U402" t="s">
        <v>2650</v>
      </c>
      <c r="V402" t="s">
        <v>2650</v>
      </c>
      <c r="W402" t="s">
        <v>3052</v>
      </c>
      <c r="X402">
        <v>2</v>
      </c>
      <c r="Y402" t="s">
        <v>4367</v>
      </c>
      <c r="Z402" t="s">
        <v>5682</v>
      </c>
      <c r="AA402">
        <v>0.98673765715522355</v>
      </c>
      <c r="AB402" t="str">
        <f>HYPERLINK("Melting_Curves/meltCurve_P15692_5_VEGFA.pdf", "Melting_Curves/meltCurve_P15692_5_VEGFA.pdf")</f>
        <v>Melting_Curves/meltCurve_P15692_5_VEGFA.pdf</v>
      </c>
    </row>
    <row r="403" spans="1:28" x14ac:dyDescent="0.25">
      <c r="A403" t="s">
        <v>407</v>
      </c>
      <c r="B403">
        <v>1</v>
      </c>
      <c r="C403">
        <v>0.92962412887010204</v>
      </c>
      <c r="D403">
        <v>1.3681594881754799</v>
      </c>
      <c r="E403">
        <v>1.7138409688106899</v>
      </c>
      <c r="F403">
        <v>1.44136296127042</v>
      </c>
      <c r="G403">
        <v>1.3348566205872301</v>
      </c>
      <c r="H403">
        <v>1.14035187935565</v>
      </c>
      <c r="I403">
        <v>1.5309036901633699</v>
      </c>
      <c r="J403">
        <v>0.81877641951331004</v>
      </c>
      <c r="K403">
        <v>1.1620872843596499</v>
      </c>
      <c r="L403">
        <v>11106.202642754301</v>
      </c>
      <c r="M403">
        <v>250</v>
      </c>
      <c r="O403">
        <v>44.421967692357903</v>
      </c>
      <c r="P403">
        <v>0.441500877363174</v>
      </c>
      <c r="Q403">
        <v>1.3137974028953701</v>
      </c>
      <c r="R403">
        <v>0.26632223732823701</v>
      </c>
      <c r="S403" t="s">
        <v>1729</v>
      </c>
      <c r="T403" t="s">
        <v>2650</v>
      </c>
      <c r="U403" t="s">
        <v>2650</v>
      </c>
      <c r="V403" t="s">
        <v>2650</v>
      </c>
      <c r="W403" t="s">
        <v>3053</v>
      </c>
      <c r="X403">
        <v>2</v>
      </c>
      <c r="Y403" t="s">
        <v>4368</v>
      </c>
      <c r="Z403" t="s">
        <v>5683</v>
      </c>
      <c r="AA403">
        <v>1.2674898022112551</v>
      </c>
      <c r="AB403" t="str">
        <f>HYPERLINK("Melting_Curves/meltCurve_P15848_ARSB.pdf", "Melting_Curves/meltCurve_P15848_ARSB.pdf")</f>
        <v>Melting_Curves/meltCurve_P15848_ARSB.pdf</v>
      </c>
    </row>
    <row r="404" spans="1:28" x14ac:dyDescent="0.25">
      <c r="A404" t="s">
        <v>408</v>
      </c>
      <c r="B404">
        <v>1</v>
      </c>
      <c r="C404">
        <v>0.78880811289632802</v>
      </c>
      <c r="D404">
        <v>1.17991325065673</v>
      </c>
      <c r="E404">
        <v>1.54645977151934</v>
      </c>
      <c r="F404">
        <v>1.2952532225548301</v>
      </c>
      <c r="G404">
        <v>1.6659539373205401</v>
      </c>
      <c r="H404">
        <v>1.56759728755575</v>
      </c>
      <c r="I404">
        <v>1.8290671391044</v>
      </c>
      <c r="J404">
        <v>1.21351334840247</v>
      </c>
      <c r="K404">
        <v>1.7150711711161299</v>
      </c>
      <c r="L404">
        <v>11526.501396559701</v>
      </c>
      <c r="M404">
        <v>250</v>
      </c>
      <c r="O404">
        <v>46.103055365051198</v>
      </c>
      <c r="P404">
        <v>0.67782926670728705</v>
      </c>
      <c r="Q404">
        <v>1.5</v>
      </c>
      <c r="R404">
        <v>0.65214055525159398</v>
      </c>
      <c r="S404" t="s">
        <v>1730</v>
      </c>
      <c r="T404" t="s">
        <v>2650</v>
      </c>
      <c r="U404" t="s">
        <v>2650</v>
      </c>
      <c r="V404" t="s">
        <v>2650</v>
      </c>
      <c r="W404" t="s">
        <v>3054</v>
      </c>
      <c r="X404">
        <v>6</v>
      </c>
      <c r="Y404" t="s">
        <v>4369</v>
      </c>
      <c r="Z404" t="s">
        <v>5684</v>
      </c>
      <c r="AA404">
        <v>1.398192782568235</v>
      </c>
      <c r="AB404" t="str">
        <f>HYPERLINK("Melting_Curves/meltCurve_P15907_ST6GAL1.pdf", "Melting_Curves/meltCurve_P15907_ST6GAL1.pdf")</f>
        <v>Melting_Curves/meltCurve_P15907_ST6GAL1.pdf</v>
      </c>
    </row>
    <row r="405" spans="1:28" x14ac:dyDescent="0.25">
      <c r="A405" t="s">
        <v>409</v>
      </c>
      <c r="B405">
        <v>1</v>
      </c>
      <c r="C405">
        <v>0.80966175577994803</v>
      </c>
      <c r="D405">
        <v>1.5608067097059</v>
      </c>
      <c r="E405">
        <v>1.6709705898581899</v>
      </c>
      <c r="F405">
        <v>1.1237102025051</v>
      </c>
      <c r="G405">
        <v>3.0877889974066099</v>
      </c>
      <c r="H405">
        <v>1.8547701815372699</v>
      </c>
      <c r="I405">
        <v>1.3005297136235701</v>
      </c>
      <c r="J405">
        <v>1.0320587099266101</v>
      </c>
      <c r="K405">
        <v>1.1471886552999</v>
      </c>
      <c r="L405">
        <v>11125.786821234</v>
      </c>
      <c r="M405">
        <v>250</v>
      </c>
      <c r="O405">
        <v>44.500297700388401</v>
      </c>
      <c r="P405">
        <v>0.702242467404397</v>
      </c>
      <c r="Q405">
        <v>1.5</v>
      </c>
      <c r="R405">
        <v>0.172009544381</v>
      </c>
      <c r="S405" t="s">
        <v>1731</v>
      </c>
      <c r="T405" t="s">
        <v>2650</v>
      </c>
      <c r="U405" t="s">
        <v>2650</v>
      </c>
      <c r="V405" t="s">
        <v>2650</v>
      </c>
      <c r="W405" t="s">
        <v>3055</v>
      </c>
      <c r="X405">
        <v>7</v>
      </c>
      <c r="Y405" t="s">
        <v>4370</v>
      </c>
      <c r="Z405" t="s">
        <v>5685</v>
      </c>
      <c r="AA405">
        <v>1.424908494085634</v>
      </c>
      <c r="AB405" t="str">
        <f>HYPERLINK("Melting_Curves/meltCurve_P15924_DSP.pdf", "Melting_Curves/meltCurve_P15924_DSP.pdf")</f>
        <v>Melting_Curves/meltCurve_P15924_DSP.pdf</v>
      </c>
    </row>
    <row r="406" spans="1:28" x14ac:dyDescent="0.25">
      <c r="A406" t="s">
        <v>410</v>
      </c>
      <c r="B406">
        <v>1</v>
      </c>
      <c r="C406">
        <v>0.73609522447812403</v>
      </c>
      <c r="D406">
        <v>1.15230912210466</v>
      </c>
      <c r="E406">
        <v>1.3138642646077601</v>
      </c>
      <c r="F406">
        <v>0.95355542846249197</v>
      </c>
      <c r="G406">
        <v>0.96830616719092599</v>
      </c>
      <c r="H406">
        <v>0.94682346773424797</v>
      </c>
      <c r="I406">
        <v>1.09959727385378</v>
      </c>
      <c r="J406">
        <v>0.65500190639595801</v>
      </c>
      <c r="K406">
        <v>0.97782623200838803</v>
      </c>
      <c r="L406">
        <v>15000</v>
      </c>
      <c r="M406">
        <v>229.368722762239</v>
      </c>
      <c r="O406">
        <v>65.391921000952095</v>
      </c>
      <c r="P406">
        <v>-0.16073019744511799</v>
      </c>
      <c r="Q406">
        <v>0.81670639270717005</v>
      </c>
      <c r="R406">
        <v>0.19526135392510599</v>
      </c>
      <c r="S406" t="s">
        <v>1732</v>
      </c>
      <c r="T406" t="s">
        <v>2650</v>
      </c>
      <c r="U406" t="s">
        <v>2650</v>
      </c>
      <c r="V406" t="s">
        <v>2650</v>
      </c>
      <c r="W406" t="s">
        <v>3056</v>
      </c>
      <c r="X406">
        <v>9</v>
      </c>
      <c r="Y406" t="s">
        <v>4371</v>
      </c>
      <c r="Z406" t="s">
        <v>5686</v>
      </c>
      <c r="AA406">
        <v>0.97190094042326203</v>
      </c>
      <c r="AB406" t="str">
        <f>HYPERLINK("Melting_Curves/meltCurve_P16035_TIMP2.pdf", "Melting_Curves/meltCurve_P16035_TIMP2.pdf")</f>
        <v>Melting_Curves/meltCurve_P16035_TIMP2.pdf</v>
      </c>
    </row>
    <row r="407" spans="1:28" x14ac:dyDescent="0.25">
      <c r="A407" t="s">
        <v>411</v>
      </c>
      <c r="B407">
        <v>1</v>
      </c>
      <c r="C407">
        <v>0.78053045759253903</v>
      </c>
      <c r="D407">
        <v>1.1222967064995599</v>
      </c>
      <c r="E407">
        <v>1.3222967064995601</v>
      </c>
      <c r="F407">
        <v>0.98618478577674196</v>
      </c>
      <c r="G407">
        <v>1.02693092392888</v>
      </c>
      <c r="H407">
        <v>0.91530166132322899</v>
      </c>
      <c r="I407">
        <v>1.0784610900612099</v>
      </c>
      <c r="J407">
        <v>0.72847566307199096</v>
      </c>
      <c r="K407">
        <v>0.98589332556106102</v>
      </c>
      <c r="L407">
        <v>6035.9143504392796</v>
      </c>
      <c r="M407">
        <v>92.448178252407004</v>
      </c>
      <c r="O407">
        <v>65.259172960119997</v>
      </c>
      <c r="P407">
        <v>-4.8417361352722399E-2</v>
      </c>
      <c r="Q407">
        <v>0.86328874075502404</v>
      </c>
      <c r="R407">
        <v>0.133364822731116</v>
      </c>
      <c r="S407" t="s">
        <v>1733</v>
      </c>
      <c r="T407" t="s">
        <v>2650</v>
      </c>
      <c r="U407" t="s">
        <v>2650</v>
      </c>
      <c r="V407" t="s">
        <v>2650</v>
      </c>
      <c r="W407" t="s">
        <v>3057</v>
      </c>
      <c r="X407">
        <v>3</v>
      </c>
      <c r="Y407" t="s">
        <v>4372</v>
      </c>
      <c r="Z407" t="s">
        <v>5687</v>
      </c>
      <c r="AA407">
        <v>0.9786421820443697</v>
      </c>
      <c r="AB407" t="str">
        <f>HYPERLINK("Melting_Curves/meltCurve_P16070_15_CD44.pdf", "Melting_Curves/meltCurve_P16070_15_CD44.pdf")</f>
        <v>Melting_Curves/meltCurve_P16070_15_CD44.pdf</v>
      </c>
    </row>
    <row r="408" spans="1:28" x14ac:dyDescent="0.25">
      <c r="A408" t="s">
        <v>412</v>
      </c>
      <c r="B408">
        <v>1</v>
      </c>
      <c r="C408">
        <v>1.0474579394960599</v>
      </c>
      <c r="D408">
        <v>1.4736315526184101</v>
      </c>
      <c r="E408">
        <v>1.9938916826834501</v>
      </c>
      <c r="F408">
        <v>1.6346331060267001</v>
      </c>
      <c r="G408">
        <v>2.06010900186936</v>
      </c>
      <c r="H408">
        <v>2.3786893446723401</v>
      </c>
      <c r="I408">
        <v>3.5387430557383999</v>
      </c>
      <c r="J408">
        <v>2.08801769305706</v>
      </c>
      <c r="K408">
        <v>2.8394460388088798</v>
      </c>
      <c r="L408">
        <v>3375.8272996717101</v>
      </c>
      <c r="M408">
        <v>76.414521355264696</v>
      </c>
      <c r="O408">
        <v>44.147597074587402</v>
      </c>
      <c r="P408">
        <v>0.21636097031292101</v>
      </c>
      <c r="Q408">
        <v>1.5</v>
      </c>
      <c r="R408">
        <v>-0.37864455831454402</v>
      </c>
      <c r="S408" t="s">
        <v>1734</v>
      </c>
      <c r="T408" t="s">
        <v>2650</v>
      </c>
      <c r="U408" t="s">
        <v>2650</v>
      </c>
      <c r="V408" t="s">
        <v>2650</v>
      </c>
      <c r="W408" t="s">
        <v>3058</v>
      </c>
      <c r="X408">
        <v>1</v>
      </c>
      <c r="Y408" t="s">
        <v>4373</v>
      </c>
      <c r="Z408" t="s">
        <v>5688</v>
      </c>
      <c r="AA408">
        <v>1.42995113055317</v>
      </c>
      <c r="AB408" t="str">
        <f>HYPERLINK("Melting_Curves/meltCurve_P16083_NQO2.pdf", "Melting_Curves/meltCurve_P16083_NQO2.pdf")</f>
        <v>Melting_Curves/meltCurve_P16083_NQO2.pdf</v>
      </c>
    </row>
    <row r="409" spans="1:28" x14ac:dyDescent="0.25">
      <c r="A409" t="s">
        <v>413</v>
      </c>
      <c r="B409">
        <v>1</v>
      </c>
      <c r="C409">
        <v>0.81681328107917195</v>
      </c>
      <c r="D409">
        <v>1.16582846954737</v>
      </c>
      <c r="E409">
        <v>1.3288311775688399</v>
      </c>
      <c r="F409">
        <v>1.10270297545961</v>
      </c>
      <c r="G409">
        <v>1.1975341866684599</v>
      </c>
      <c r="H409">
        <v>1.1567288446335799</v>
      </c>
      <c r="I409">
        <v>1.5127075168620601</v>
      </c>
      <c r="J409">
        <v>0.966208601752645</v>
      </c>
      <c r="K409">
        <v>1.2294922039257901</v>
      </c>
      <c r="L409">
        <v>11442.6149684793</v>
      </c>
      <c r="M409">
        <v>250</v>
      </c>
      <c r="O409">
        <v>45.7675308332282</v>
      </c>
      <c r="P409">
        <v>0.29149750283264902</v>
      </c>
      <c r="Q409">
        <v>1.21345793509156</v>
      </c>
      <c r="R409">
        <v>0.37539021404330702</v>
      </c>
      <c r="S409" t="s">
        <v>1735</v>
      </c>
      <c r="T409" t="s">
        <v>2650</v>
      </c>
      <c r="U409" t="s">
        <v>2650</v>
      </c>
      <c r="V409" t="s">
        <v>2650</v>
      </c>
      <c r="W409" t="s">
        <v>3059</v>
      </c>
      <c r="X409">
        <v>5</v>
      </c>
      <c r="Y409" t="s">
        <v>4374</v>
      </c>
      <c r="Z409" t="s">
        <v>5689</v>
      </c>
      <c r="AA409">
        <v>1.1723824404673631</v>
      </c>
      <c r="AB409" t="str">
        <f>HYPERLINK("Melting_Curves/meltCurve_P16152_CBR1.pdf", "Melting_Curves/meltCurve_P16152_CBR1.pdf")</f>
        <v>Melting_Curves/meltCurve_P16152_CBR1.pdf</v>
      </c>
    </row>
    <row r="410" spans="1:28" x14ac:dyDescent="0.25">
      <c r="A410" t="s">
        <v>414</v>
      </c>
      <c r="B410">
        <v>1</v>
      </c>
      <c r="C410">
        <v>0.96523272658562698</v>
      </c>
      <c r="D410">
        <v>1.331359828683</v>
      </c>
      <c r="E410">
        <v>1.65119355041884</v>
      </c>
      <c r="F410">
        <v>1.32474648863135</v>
      </c>
      <c r="G410">
        <v>1.43918876362033</v>
      </c>
      <c r="H410">
        <v>1.38842350570007</v>
      </c>
      <c r="I410">
        <v>1.88089689487939</v>
      </c>
      <c r="J410">
        <v>1.30937834603515</v>
      </c>
      <c r="K410">
        <v>1.7653209044529801</v>
      </c>
      <c r="L410">
        <v>11468.929872148099</v>
      </c>
      <c r="M410">
        <v>250</v>
      </c>
      <c r="O410">
        <v>45.872781626547599</v>
      </c>
      <c r="P410">
        <v>0.68123182164054696</v>
      </c>
      <c r="Q410">
        <v>1.5</v>
      </c>
      <c r="R410">
        <v>0.59494413030234905</v>
      </c>
      <c r="S410" t="s">
        <v>1736</v>
      </c>
      <c r="T410" t="s">
        <v>2650</v>
      </c>
      <c r="U410" t="s">
        <v>2650</v>
      </c>
      <c r="V410" t="s">
        <v>2650</v>
      </c>
      <c r="W410" t="s">
        <v>3060</v>
      </c>
      <c r="X410">
        <v>9</v>
      </c>
      <c r="Y410" t="s">
        <v>4375</v>
      </c>
      <c r="Z410" t="s">
        <v>5690</v>
      </c>
      <c r="AA410">
        <v>1.4020310862699339</v>
      </c>
      <c r="AB410" t="str">
        <f>HYPERLINK("Melting_Curves/meltCurve_P16278_2_GLB1.pdf", "Melting_Curves/meltCurve_P16278_2_GLB1.pdf")</f>
        <v>Melting_Curves/meltCurve_P16278_2_GLB1.pdf</v>
      </c>
    </row>
    <row r="411" spans="1:28" x14ac:dyDescent="0.25">
      <c r="A411" t="s">
        <v>415</v>
      </c>
      <c r="B411">
        <v>1</v>
      </c>
      <c r="C411">
        <v>0.74090504671049395</v>
      </c>
      <c r="D411">
        <v>1.12561168503781</v>
      </c>
      <c r="E411">
        <v>1.3659730117147</v>
      </c>
      <c r="F411">
        <v>1.0852775443626099</v>
      </c>
      <c r="G411">
        <v>1.06004399189363</v>
      </c>
      <c r="H411">
        <v>0.97091097820176997</v>
      </c>
      <c r="I411">
        <v>1.2395581038999599</v>
      </c>
      <c r="J411">
        <v>0.73994117937818205</v>
      </c>
      <c r="K411">
        <v>1.0164722455637401</v>
      </c>
      <c r="L411">
        <v>1494.83435094213</v>
      </c>
      <c r="M411">
        <v>21.793274836363398</v>
      </c>
      <c r="O411">
        <v>68.021848267090306</v>
      </c>
      <c r="P411">
        <v>-6.4298093302737596E-3</v>
      </c>
      <c r="Q411">
        <v>0.91972617919690902</v>
      </c>
      <c r="R411">
        <v>-2.3160184414721601E-2</v>
      </c>
      <c r="S411" t="s">
        <v>1737</v>
      </c>
      <c r="T411" t="s">
        <v>2650</v>
      </c>
      <c r="U411" t="s">
        <v>2650</v>
      </c>
      <c r="V411" t="s">
        <v>2650</v>
      </c>
      <c r="W411" t="s">
        <v>3061</v>
      </c>
      <c r="X411">
        <v>3</v>
      </c>
      <c r="Y411" t="s">
        <v>4376</v>
      </c>
      <c r="Z411" t="s">
        <v>5691</v>
      </c>
      <c r="AA411">
        <v>0.99262663032306442</v>
      </c>
      <c r="AB411" t="str">
        <f>HYPERLINK("Melting_Curves/meltCurve_P16403_HIST1H1C.pdf", "Melting_Curves/meltCurve_P16403_HIST1H1C.pdf")</f>
        <v>Melting_Curves/meltCurve_P16403_HIST1H1C.pdf</v>
      </c>
    </row>
    <row r="412" spans="1:28" x14ac:dyDescent="0.25">
      <c r="A412" t="s">
        <v>416</v>
      </c>
      <c r="B412">
        <v>1</v>
      </c>
      <c r="C412">
        <v>1.0407486815515801</v>
      </c>
      <c r="D412">
        <v>1.7484844004140201</v>
      </c>
      <c r="E412">
        <v>2.44381191778796</v>
      </c>
      <c r="F412">
        <v>2.0794519197594798</v>
      </c>
      <c r="G412">
        <v>2.3939080289812198</v>
      </c>
      <c r="H412">
        <v>2.2651436739119699</v>
      </c>
      <c r="I412">
        <v>2.6743555621272601</v>
      </c>
      <c r="J412">
        <v>2.1533836068805798</v>
      </c>
      <c r="K412">
        <v>2.7235201340627899</v>
      </c>
      <c r="L412">
        <v>10828.909646043699</v>
      </c>
      <c r="M412">
        <v>250</v>
      </c>
      <c r="O412">
        <v>43.312866856422403</v>
      </c>
      <c r="P412">
        <v>0.72149461438959805</v>
      </c>
      <c r="Q412">
        <v>1.5</v>
      </c>
      <c r="R412">
        <v>-0.76455118563676905</v>
      </c>
      <c r="S412" t="s">
        <v>1738</v>
      </c>
      <c r="T412" t="s">
        <v>2650</v>
      </c>
      <c r="U412" t="s">
        <v>2650</v>
      </c>
      <c r="V412" t="s">
        <v>2650</v>
      </c>
      <c r="W412" t="s">
        <v>3062</v>
      </c>
      <c r="X412">
        <v>1</v>
      </c>
      <c r="Y412" t="s">
        <v>4377</v>
      </c>
      <c r="Z412" t="s">
        <v>5692</v>
      </c>
      <c r="AA412">
        <v>1.4447013477921899</v>
      </c>
      <c r="AB412" t="str">
        <f>HYPERLINK("Melting_Curves/meltCurve_P16442_ABO.pdf", "Melting_Curves/meltCurve_P16442_ABO.pdf")</f>
        <v>Melting_Curves/meltCurve_P16442_ABO.pdf</v>
      </c>
    </row>
    <row r="413" spans="1:28" x14ac:dyDescent="0.25">
      <c r="A413" t="s">
        <v>417</v>
      </c>
      <c r="B413">
        <v>1</v>
      </c>
      <c r="C413">
        <v>0.69583588904791105</v>
      </c>
      <c r="D413">
        <v>1.0353029373679501</v>
      </c>
      <c r="E413">
        <v>1.2721324882437099</v>
      </c>
      <c r="F413">
        <v>0.89248960676071698</v>
      </c>
      <c r="G413">
        <v>1.0811354187964299</v>
      </c>
      <c r="H413">
        <v>0.92775846793430095</v>
      </c>
      <c r="I413">
        <v>1.0994684113678199</v>
      </c>
      <c r="J413">
        <v>0.75250460028624</v>
      </c>
      <c r="K413">
        <v>0.93900361207660299</v>
      </c>
      <c r="L413">
        <v>15000</v>
      </c>
      <c r="M413">
        <v>229.09608343637399</v>
      </c>
      <c r="O413">
        <v>65.4697223002768</v>
      </c>
      <c r="P413">
        <v>-0.13485628967582899</v>
      </c>
      <c r="Q413">
        <v>0.84584627226329501</v>
      </c>
      <c r="R413">
        <v>0.148013108213297</v>
      </c>
      <c r="S413" t="s">
        <v>1739</v>
      </c>
      <c r="T413" t="s">
        <v>2650</v>
      </c>
      <c r="U413" t="s">
        <v>2650</v>
      </c>
      <c r="V413" t="s">
        <v>2650</v>
      </c>
      <c r="W413" t="s">
        <v>3063</v>
      </c>
      <c r="X413">
        <v>1</v>
      </c>
      <c r="Y413" t="s">
        <v>4378</v>
      </c>
      <c r="Z413" t="s">
        <v>5693</v>
      </c>
      <c r="AA413">
        <v>0.97676809127023545</v>
      </c>
      <c r="AB413" t="str">
        <f>HYPERLINK("Melting_Curves/meltCurve_P16671_2_CD36.pdf", "Melting_Curves/meltCurve_P16671_2_CD36.pdf")</f>
        <v>Melting_Curves/meltCurve_P16671_2_CD36.pdf</v>
      </c>
    </row>
    <row r="414" spans="1:28" x14ac:dyDescent="0.25">
      <c r="A414" t="s">
        <v>418</v>
      </c>
      <c r="B414">
        <v>1</v>
      </c>
      <c r="C414">
        <v>0.69445667327023297</v>
      </c>
      <c r="D414">
        <v>1.2891261281091799</v>
      </c>
      <c r="E414">
        <v>1.70360994937266</v>
      </c>
      <c r="F414">
        <v>1.1541565778853899</v>
      </c>
      <c r="G414">
        <v>1.1808276469293399</v>
      </c>
      <c r="H414">
        <v>1.4731271553305401</v>
      </c>
      <c r="I414">
        <v>1.53443025900653</v>
      </c>
      <c r="J414">
        <v>0.60589551691246601</v>
      </c>
      <c r="K414">
        <v>1.05946877980776</v>
      </c>
      <c r="L414">
        <v>11146.1968016546</v>
      </c>
      <c r="M414">
        <v>250</v>
      </c>
      <c r="O414">
        <v>44.581934116550997</v>
      </c>
      <c r="P414">
        <v>0.35060481559926399</v>
      </c>
      <c r="Q414">
        <v>1.25009025211904</v>
      </c>
      <c r="R414">
        <v>0.19195554921708999</v>
      </c>
      <c r="S414" t="s">
        <v>1740</v>
      </c>
      <c r="T414" t="s">
        <v>2650</v>
      </c>
      <c r="U414" t="s">
        <v>2650</v>
      </c>
      <c r="V414" t="s">
        <v>2650</v>
      </c>
      <c r="W414" t="s">
        <v>3064</v>
      </c>
      <c r="X414">
        <v>1</v>
      </c>
      <c r="Y414" t="s">
        <v>4379</v>
      </c>
      <c r="Z414" t="s">
        <v>5694</v>
      </c>
      <c r="AA414">
        <v>1.2118503307081161</v>
      </c>
      <c r="AB414" t="str">
        <f>HYPERLINK("Melting_Curves/meltCurve_P16750_GO.pdf", "Melting_Curves/meltCurve_P16750_GO.pdf")</f>
        <v>Melting_Curves/meltCurve_P16750_GO.pdf</v>
      </c>
    </row>
    <row r="415" spans="1:28" x14ac:dyDescent="0.25">
      <c r="A415" t="s">
        <v>419</v>
      </c>
      <c r="B415">
        <v>1</v>
      </c>
      <c r="C415">
        <v>0.76224164752944701</v>
      </c>
      <c r="D415">
        <v>1.09126601970516</v>
      </c>
      <c r="E415">
        <v>1.2639454774427701</v>
      </c>
      <c r="F415">
        <v>0.96699755537447196</v>
      </c>
      <c r="G415">
        <v>1.1040077042743901</v>
      </c>
      <c r="H415">
        <v>1.0493369879250301</v>
      </c>
      <c r="I415">
        <v>1.34743314319579</v>
      </c>
      <c r="J415">
        <v>0.95907104229942997</v>
      </c>
      <c r="K415">
        <v>1.2879842951329701</v>
      </c>
      <c r="L415">
        <v>457.232887450612</v>
      </c>
      <c r="M415">
        <v>7.9293721202484404</v>
      </c>
      <c r="O415">
        <v>54.341673300827097</v>
      </c>
      <c r="P415">
        <v>8.3922383989764801E-3</v>
      </c>
      <c r="Q415">
        <v>1.22978654662547</v>
      </c>
      <c r="R415">
        <v>0.211376793806063</v>
      </c>
      <c r="S415" t="s">
        <v>1741</v>
      </c>
      <c r="T415" t="s">
        <v>2650</v>
      </c>
      <c r="U415" t="s">
        <v>2650</v>
      </c>
      <c r="V415" t="s">
        <v>2650</v>
      </c>
      <c r="W415" t="s">
        <v>3065</v>
      </c>
      <c r="X415">
        <v>29</v>
      </c>
      <c r="Y415" t="s">
        <v>4380</v>
      </c>
      <c r="Z415" t="s">
        <v>5695</v>
      </c>
      <c r="AA415">
        <v>1.09306877744787</v>
      </c>
      <c r="AB415" t="str">
        <f>HYPERLINK("Melting_Curves/meltCurve_P16870_2_CPE.pdf", "Melting_Curves/meltCurve_P16870_2_CPE.pdf")</f>
        <v>Melting_Curves/meltCurve_P16870_2_CPE.pdf</v>
      </c>
    </row>
    <row r="416" spans="1:28" x14ac:dyDescent="0.25">
      <c r="A416" t="s">
        <v>420</v>
      </c>
      <c r="B416">
        <v>1</v>
      </c>
      <c r="C416">
        <v>0.70535560952871601</v>
      </c>
      <c r="D416">
        <v>1.04519025539118</v>
      </c>
      <c r="E416">
        <v>1.1557371016412701</v>
      </c>
      <c r="F416">
        <v>0.87632786241750704</v>
      </c>
      <c r="G416">
        <v>0.96562890998748796</v>
      </c>
      <c r="H416">
        <v>0.94210151860847402</v>
      </c>
      <c r="I416">
        <v>1.0052255832781301</v>
      </c>
      <c r="J416">
        <v>0.65219204631878502</v>
      </c>
      <c r="K416">
        <v>0.91430534088957605</v>
      </c>
      <c r="L416">
        <v>15000</v>
      </c>
      <c r="M416">
        <v>230.461303299913</v>
      </c>
      <c r="O416">
        <v>65.081947531390995</v>
      </c>
      <c r="P416">
        <v>-0.191854484590083</v>
      </c>
      <c r="Q416">
        <v>0.78328225505709304</v>
      </c>
      <c r="R416">
        <v>0.19033476713175301</v>
      </c>
      <c r="S416" t="s">
        <v>1742</v>
      </c>
      <c r="T416" t="s">
        <v>2650</v>
      </c>
      <c r="U416" t="s">
        <v>2650</v>
      </c>
      <c r="V416" t="s">
        <v>2650</v>
      </c>
      <c r="W416" t="s">
        <v>3066</v>
      </c>
      <c r="X416">
        <v>2</v>
      </c>
      <c r="Y416" t="s">
        <v>4381</v>
      </c>
      <c r="Z416" t="s">
        <v>5696</v>
      </c>
      <c r="AA416">
        <v>0.9645368961946742</v>
      </c>
      <c r="AB416" t="str">
        <f>HYPERLINK("Melting_Curves/meltCurve_P16949_STMN1.pdf", "Melting_Curves/meltCurve_P16949_STMN1.pdf")</f>
        <v>Melting_Curves/meltCurve_P16949_STMN1.pdf</v>
      </c>
    </row>
    <row r="417" spans="1:28" x14ac:dyDescent="0.25">
      <c r="A417" t="s">
        <v>421</v>
      </c>
      <c r="B417">
        <v>1</v>
      </c>
      <c r="C417">
        <v>0.866386581884246</v>
      </c>
      <c r="D417">
        <v>1.2551907604464101</v>
      </c>
      <c r="E417">
        <v>1.90354918245523</v>
      </c>
      <c r="F417">
        <v>1.6263301323643899</v>
      </c>
      <c r="G417">
        <v>1.88440825330911</v>
      </c>
      <c r="H417">
        <v>1.7921100441214599</v>
      </c>
      <c r="I417">
        <v>2.07516869971451</v>
      </c>
      <c r="J417">
        <v>1.38896638982611</v>
      </c>
      <c r="K417">
        <v>1.93047625227096</v>
      </c>
      <c r="L417">
        <v>11498.0895276682</v>
      </c>
      <c r="M417">
        <v>250</v>
      </c>
      <c r="O417">
        <v>45.989414930645999</v>
      </c>
      <c r="P417">
        <v>0.67950418811172797</v>
      </c>
      <c r="Q417">
        <v>1.5</v>
      </c>
      <c r="R417">
        <v>0.40094495255220702</v>
      </c>
      <c r="S417" t="s">
        <v>1743</v>
      </c>
      <c r="T417" t="s">
        <v>2650</v>
      </c>
      <c r="U417" t="s">
        <v>2650</v>
      </c>
      <c r="V417" t="s">
        <v>2650</v>
      </c>
      <c r="W417" t="s">
        <v>3067</v>
      </c>
      <c r="X417">
        <v>4</v>
      </c>
      <c r="Y417" t="s">
        <v>4382</v>
      </c>
      <c r="Z417" t="s">
        <v>5697</v>
      </c>
      <c r="AA417">
        <v>1.400087006885778</v>
      </c>
      <c r="AB417" t="str">
        <f>HYPERLINK("Melting_Curves/meltCurve_P17050_NAGA.pdf", "Melting_Curves/meltCurve_P17050_NAGA.pdf")</f>
        <v>Melting_Curves/meltCurve_P17050_NAGA.pdf</v>
      </c>
    </row>
    <row r="418" spans="1:28" x14ac:dyDescent="0.25">
      <c r="A418" t="s">
        <v>422</v>
      </c>
      <c r="B418">
        <v>1</v>
      </c>
      <c r="C418">
        <v>0.71179611304904999</v>
      </c>
      <c r="D418">
        <v>0.935146294582473</v>
      </c>
      <c r="E418">
        <v>1.2098668754894299</v>
      </c>
      <c r="F418">
        <v>0.98903680501174596</v>
      </c>
      <c r="G418">
        <v>1.17590944685698</v>
      </c>
      <c r="H418">
        <v>0.94504164590303996</v>
      </c>
      <c r="I418">
        <v>1.4381718516409201</v>
      </c>
      <c r="J418">
        <v>1.29643340214993</v>
      </c>
      <c r="K418">
        <v>1.5825443155122101</v>
      </c>
      <c r="L418">
        <v>15000</v>
      </c>
      <c r="M418">
        <v>238.67926874060899</v>
      </c>
      <c r="O418">
        <v>62.841431420305398</v>
      </c>
      <c r="P418">
        <v>0.41872595085184799</v>
      </c>
      <c r="Q418">
        <v>1.44098238137579</v>
      </c>
      <c r="R418">
        <v>0.66701279566480898</v>
      </c>
      <c r="S418" t="s">
        <v>1744</v>
      </c>
      <c r="T418" t="s">
        <v>2650</v>
      </c>
      <c r="U418" t="s">
        <v>2650</v>
      </c>
      <c r="V418" t="s">
        <v>2650</v>
      </c>
      <c r="W418" t="s">
        <v>3068</v>
      </c>
      <c r="X418">
        <v>8</v>
      </c>
      <c r="Y418" t="s">
        <v>4383</v>
      </c>
      <c r="Z418" t="s">
        <v>5698</v>
      </c>
      <c r="AA418">
        <v>1.105108535286496</v>
      </c>
      <c r="AB418" t="str">
        <f>HYPERLINK("Melting_Curves/meltCurve_P17066_HSPA6.pdf", "Melting_Curves/meltCurve_P17066_HSPA6.pdf")</f>
        <v>Melting_Curves/meltCurve_P17066_HSPA6.pdf</v>
      </c>
    </row>
    <row r="419" spans="1:28" x14ac:dyDescent="0.25">
      <c r="A419" t="s">
        <v>423</v>
      </c>
      <c r="B419">
        <v>1</v>
      </c>
      <c r="C419">
        <v>0.80314209915436896</v>
      </c>
      <c r="D419">
        <v>1.12713480351517</v>
      </c>
      <c r="E419">
        <v>1.29995025700547</v>
      </c>
      <c r="F419">
        <v>1.05931852097496</v>
      </c>
      <c r="G419">
        <v>1.1987232631404401</v>
      </c>
      <c r="H419">
        <v>1.1224921240258701</v>
      </c>
      <c r="I419">
        <v>1.53560769358315</v>
      </c>
      <c r="J419">
        <v>1.0743243243243199</v>
      </c>
      <c r="K419">
        <v>1.3194743823578201</v>
      </c>
      <c r="L419">
        <v>11490.2489047127</v>
      </c>
      <c r="M419">
        <v>250</v>
      </c>
      <c r="O419">
        <v>45.958054628122198</v>
      </c>
      <c r="P419">
        <v>0.31276395740073298</v>
      </c>
      <c r="Q419">
        <v>1.2299843673278099</v>
      </c>
      <c r="R419">
        <v>0.414272783768387</v>
      </c>
      <c r="S419" t="s">
        <v>1745</v>
      </c>
      <c r="T419" t="s">
        <v>2650</v>
      </c>
      <c r="U419" t="s">
        <v>2650</v>
      </c>
      <c r="V419" t="s">
        <v>2650</v>
      </c>
      <c r="W419" t="s">
        <v>3069</v>
      </c>
      <c r="X419">
        <v>3</v>
      </c>
      <c r="Y419" t="s">
        <v>4384</v>
      </c>
      <c r="Z419" t="s">
        <v>5699</v>
      </c>
      <c r="AA419">
        <v>1.184267956395886</v>
      </c>
      <c r="AB419" t="str">
        <f>HYPERLINK("Melting_Curves/meltCurve_P17174_GOT1.pdf", "Melting_Curves/meltCurve_P17174_GOT1.pdf")</f>
        <v>Melting_Curves/meltCurve_P17174_GOT1.pdf</v>
      </c>
    </row>
    <row r="420" spans="1:28" x14ac:dyDescent="0.25">
      <c r="A420" t="s">
        <v>424</v>
      </c>
      <c r="B420">
        <v>1</v>
      </c>
      <c r="C420">
        <v>0.81403710628505699</v>
      </c>
      <c r="D420">
        <v>1.2135481087300399</v>
      </c>
      <c r="E420">
        <v>1.4845390478930001</v>
      </c>
      <c r="F420">
        <v>1.2825974399539799</v>
      </c>
      <c r="G420">
        <v>1.43532288220912</v>
      </c>
      <c r="H420">
        <v>1.4074787861354801</v>
      </c>
      <c r="I420">
        <v>1.6664749029196</v>
      </c>
      <c r="J420">
        <v>1.11455486840213</v>
      </c>
      <c r="K420">
        <v>1.4963325183374101</v>
      </c>
      <c r="L420">
        <v>11496.736655098901</v>
      </c>
      <c r="M420">
        <v>250</v>
      </c>
      <c r="O420">
        <v>45.984003780042599</v>
      </c>
      <c r="P420">
        <v>0.56061817623624099</v>
      </c>
      <c r="Q420">
        <v>1.4124714927075801</v>
      </c>
      <c r="R420">
        <v>0.640129993929904</v>
      </c>
      <c r="S420" t="s">
        <v>1746</v>
      </c>
      <c r="T420" t="s">
        <v>2650</v>
      </c>
      <c r="U420" t="s">
        <v>2650</v>
      </c>
      <c r="V420" t="s">
        <v>2650</v>
      </c>
      <c r="W420" t="s">
        <v>3070</v>
      </c>
      <c r="X420">
        <v>3</v>
      </c>
      <c r="Y420" t="s">
        <v>4385</v>
      </c>
      <c r="Z420" t="s">
        <v>5700</v>
      </c>
      <c r="AA420">
        <v>1.330123376652524</v>
      </c>
      <c r="AB420" t="str">
        <f>HYPERLINK("Melting_Curves/meltCurve_P17181_2_IFNAR1.pdf", "Melting_Curves/meltCurve_P17181_2_IFNAR1.pdf")</f>
        <v>Melting_Curves/meltCurve_P17181_2_IFNAR1.pdf</v>
      </c>
    </row>
    <row r="421" spans="1:28" x14ac:dyDescent="0.25">
      <c r="A421" t="s">
        <v>425</v>
      </c>
      <c r="B421">
        <v>1</v>
      </c>
      <c r="C421">
        <v>0.86851196494775895</v>
      </c>
      <c r="D421">
        <v>1.7361391978429399</v>
      </c>
      <c r="E421">
        <v>1.7745618469834901</v>
      </c>
      <c r="F421">
        <v>1.45492079541625</v>
      </c>
      <c r="G421">
        <v>1.29423660262892</v>
      </c>
      <c r="H421">
        <v>1.3746629592180699</v>
      </c>
      <c r="I421">
        <v>1.8486265588136199</v>
      </c>
      <c r="J421">
        <v>1.6298870913380501</v>
      </c>
      <c r="K421">
        <v>1.6984748904617499</v>
      </c>
      <c r="L421">
        <v>11087.480102900499</v>
      </c>
      <c r="M421">
        <v>250</v>
      </c>
      <c r="O421">
        <v>44.347084251347098</v>
      </c>
      <c r="P421">
        <v>0.704668681845801</v>
      </c>
      <c r="Q421">
        <v>1.5</v>
      </c>
      <c r="R421">
        <v>0.61652534999943498</v>
      </c>
      <c r="S421" t="s">
        <v>1747</v>
      </c>
      <c r="T421" t="s">
        <v>2650</v>
      </c>
      <c r="U421" t="s">
        <v>2650</v>
      </c>
      <c r="V421" t="s">
        <v>2650</v>
      </c>
      <c r="W421" t="s">
        <v>3071</v>
      </c>
      <c r="X421">
        <v>2</v>
      </c>
      <c r="Y421" t="s">
        <v>4386</v>
      </c>
      <c r="Z421" t="s">
        <v>5701</v>
      </c>
      <c r="AA421">
        <v>1.427462409763254</v>
      </c>
      <c r="AB421" t="str">
        <f>HYPERLINK("Melting_Curves/meltCurve_P17213_BPI.pdf", "Melting_Curves/meltCurve_P17213_BPI.pdf")</f>
        <v>Melting_Curves/meltCurve_P17213_BPI.pdf</v>
      </c>
    </row>
    <row r="422" spans="1:28" x14ac:dyDescent="0.25">
      <c r="A422" t="s">
        <v>426</v>
      </c>
      <c r="B422">
        <v>1</v>
      </c>
      <c r="C422">
        <v>1.0576912949602399</v>
      </c>
      <c r="D422">
        <v>1.3876981410290199</v>
      </c>
      <c r="E422">
        <v>1.7860340196956099</v>
      </c>
      <c r="F422">
        <v>1.58873558375902</v>
      </c>
      <c r="G422">
        <v>1.8000684606877699</v>
      </c>
      <c r="H422">
        <v>2.1824740639317501</v>
      </c>
      <c r="I422">
        <v>3.9209542366633299</v>
      </c>
      <c r="J422">
        <v>3.2129127389541301</v>
      </c>
      <c r="K422">
        <v>4.4320396018747701</v>
      </c>
      <c r="L422">
        <v>2417.5875862596599</v>
      </c>
      <c r="M422">
        <v>53.968414202656298</v>
      </c>
      <c r="O422">
        <v>44.734973240347301</v>
      </c>
      <c r="P422">
        <v>0.150800529414097</v>
      </c>
      <c r="Q422">
        <v>1.5</v>
      </c>
      <c r="R422">
        <v>-0.380597038324685</v>
      </c>
      <c r="S422" t="s">
        <v>1748</v>
      </c>
      <c r="T422" t="s">
        <v>2650</v>
      </c>
      <c r="U422" t="s">
        <v>2650</v>
      </c>
      <c r="V422" t="s">
        <v>2650</v>
      </c>
      <c r="W422" t="s">
        <v>3072</v>
      </c>
      <c r="X422">
        <v>5</v>
      </c>
      <c r="Y422" t="s">
        <v>4387</v>
      </c>
      <c r="Z422" t="s">
        <v>5702</v>
      </c>
      <c r="AA422">
        <v>1.419197076497509</v>
      </c>
      <c r="AB422" t="str">
        <f>HYPERLINK("Melting_Curves/meltCurve_P17405_4_SMPD1.pdf", "Melting_Curves/meltCurve_P17405_4_SMPD1.pdf")</f>
        <v>Melting_Curves/meltCurve_P17405_4_SMPD1.pdf</v>
      </c>
    </row>
    <row r="423" spans="1:28" x14ac:dyDescent="0.25">
      <c r="A423" t="s">
        <v>427</v>
      </c>
      <c r="B423">
        <v>1</v>
      </c>
      <c r="C423">
        <v>1.31087518070005</v>
      </c>
      <c r="D423">
        <v>1.39927009029078</v>
      </c>
      <c r="E423">
        <v>1.485650638671</v>
      </c>
      <c r="F423">
        <v>1.2485484750100699</v>
      </c>
      <c r="G423">
        <v>1.4260492452070099</v>
      </c>
      <c r="H423">
        <v>1.15337583240515</v>
      </c>
      <c r="I423">
        <v>1.41953219423182</v>
      </c>
      <c r="J423">
        <v>0.99283124392729305</v>
      </c>
      <c r="K423">
        <v>0.46792426001848503</v>
      </c>
      <c r="L423">
        <v>8417.7049850972908</v>
      </c>
      <c r="M423">
        <v>120.636575590371</v>
      </c>
      <c r="N423">
        <v>69.915040041379498</v>
      </c>
      <c r="O423">
        <v>69.758206532366003</v>
      </c>
      <c r="P423">
        <v>-0.38663688541673302</v>
      </c>
      <c r="Q423">
        <v>0.105707405834767</v>
      </c>
      <c r="R423">
        <v>-9.2830277752795398E-2</v>
      </c>
      <c r="S423" t="s">
        <v>1749</v>
      </c>
      <c r="T423" t="s">
        <v>2650</v>
      </c>
      <c r="U423" t="s">
        <v>2650</v>
      </c>
      <c r="V423" t="s">
        <v>2650</v>
      </c>
      <c r="W423" t="s">
        <v>3073</v>
      </c>
      <c r="X423">
        <v>2</v>
      </c>
      <c r="Y423" t="s">
        <v>4388</v>
      </c>
      <c r="Z423" t="s">
        <v>5703</v>
      </c>
      <c r="AA423">
        <v>0.98464282758399613</v>
      </c>
      <c r="AB423" t="str">
        <f>HYPERLINK("Melting_Curves/meltCurve_P17655_CAPN2.pdf", "Melting_Curves/meltCurve_P17655_CAPN2.pdf")</f>
        <v>Melting_Curves/meltCurve_P17655_CAPN2.pdf</v>
      </c>
    </row>
    <row r="424" spans="1:28" x14ac:dyDescent="0.25">
      <c r="A424" t="s">
        <v>428</v>
      </c>
      <c r="B424">
        <v>1</v>
      </c>
      <c r="C424">
        <v>1.20203853829588</v>
      </c>
      <c r="D424">
        <v>1.20474456258245</v>
      </c>
      <c r="E424">
        <v>1.1418294979197401</v>
      </c>
      <c r="F424">
        <v>1.4604638576631199</v>
      </c>
      <c r="G424">
        <v>1.9735937130035699</v>
      </c>
      <c r="H424">
        <v>1.3597772040004099</v>
      </c>
      <c r="I424">
        <v>1.8759513366632501</v>
      </c>
      <c r="J424">
        <v>1.2505214734302199</v>
      </c>
      <c r="K424">
        <v>1.5330755093527</v>
      </c>
      <c r="L424">
        <v>3202.2400462343498</v>
      </c>
      <c r="M424">
        <v>63.131527925899</v>
      </c>
      <c r="O424">
        <v>50.672489141687102</v>
      </c>
      <c r="P424">
        <v>0.155734283818107</v>
      </c>
      <c r="Q424">
        <v>1.5</v>
      </c>
      <c r="R424">
        <v>0.41251507773670398</v>
      </c>
      <c r="S424" t="s">
        <v>1750</v>
      </c>
      <c r="T424" t="s">
        <v>2650</v>
      </c>
      <c r="U424" t="s">
        <v>2650</v>
      </c>
      <c r="V424" t="s">
        <v>2650</v>
      </c>
      <c r="W424" t="s">
        <v>3074</v>
      </c>
      <c r="X424">
        <v>3</v>
      </c>
      <c r="Y424" t="s">
        <v>4389</v>
      </c>
      <c r="Z424" t="s">
        <v>5704</v>
      </c>
      <c r="AA424">
        <v>1.3205779146072529</v>
      </c>
      <c r="AB424" t="str">
        <f>HYPERLINK("Melting_Curves/meltCurve_P17900_GM2A.pdf", "Melting_Curves/meltCurve_P17900_GM2A.pdf")</f>
        <v>Melting_Curves/meltCurve_P17900_GM2A.pdf</v>
      </c>
    </row>
    <row r="425" spans="1:28" x14ac:dyDescent="0.25">
      <c r="A425" t="s">
        <v>429</v>
      </c>
      <c r="B425">
        <v>1</v>
      </c>
      <c r="C425">
        <v>0.80251237152645605</v>
      </c>
      <c r="D425">
        <v>1.4055576703463999</v>
      </c>
      <c r="E425">
        <v>1.8650932622763601</v>
      </c>
      <c r="F425">
        <v>2.2629615531024001</v>
      </c>
      <c r="G425">
        <v>2.84179672630377</v>
      </c>
      <c r="H425">
        <v>2.43281309478493</v>
      </c>
      <c r="I425">
        <v>3.1430529120670001</v>
      </c>
      <c r="J425">
        <v>3.0486486486486499</v>
      </c>
      <c r="K425">
        <v>2.94381423677198</v>
      </c>
      <c r="L425">
        <v>11432.965465471199</v>
      </c>
      <c r="M425">
        <v>250</v>
      </c>
      <c r="O425">
        <v>45.728935336381703</v>
      </c>
      <c r="P425">
        <v>0.68337475635085698</v>
      </c>
      <c r="Q425">
        <v>1.5</v>
      </c>
      <c r="R425">
        <v>-0.56852639950346195</v>
      </c>
      <c r="S425" t="s">
        <v>1751</v>
      </c>
      <c r="T425" t="s">
        <v>2650</v>
      </c>
      <c r="U425" t="s">
        <v>2650</v>
      </c>
      <c r="V425" t="s">
        <v>2650</v>
      </c>
      <c r="W425" t="s">
        <v>3075</v>
      </c>
      <c r="X425">
        <v>6</v>
      </c>
      <c r="Y425" t="s">
        <v>4390</v>
      </c>
      <c r="Z425" t="s">
        <v>5705</v>
      </c>
      <c r="AA425">
        <v>1.404428839615673</v>
      </c>
      <c r="AB425" t="str">
        <f>HYPERLINK("Melting_Curves/meltCurve_P17931_LGALS3.pdf", "Melting_Curves/meltCurve_P17931_LGALS3.pdf")</f>
        <v>Melting_Curves/meltCurve_P17931_LGALS3.pdf</v>
      </c>
    </row>
    <row r="426" spans="1:28" x14ac:dyDescent="0.25">
      <c r="A426" t="s">
        <v>430</v>
      </c>
      <c r="B426">
        <v>1</v>
      </c>
      <c r="C426">
        <v>0.81467089611419496</v>
      </c>
      <c r="D426">
        <v>1.1189730372720099</v>
      </c>
      <c r="E426">
        <v>1.1757533703409999</v>
      </c>
      <c r="F426">
        <v>0.97833068992862804</v>
      </c>
      <c r="G426">
        <v>0.97696272799365602</v>
      </c>
      <c r="H426">
        <v>0.88685567010309296</v>
      </c>
      <c r="I426">
        <v>0.96972640761300599</v>
      </c>
      <c r="J426">
        <v>0.67710150674068204</v>
      </c>
      <c r="K426">
        <v>0.923037272006344</v>
      </c>
      <c r="L426">
        <v>1653.2203231076201</v>
      </c>
      <c r="M426">
        <v>26.992077714493199</v>
      </c>
      <c r="O426">
        <v>60.915132523886498</v>
      </c>
      <c r="P426">
        <v>-1.9208250688725101E-2</v>
      </c>
      <c r="Q426">
        <v>0.82660667120723397</v>
      </c>
      <c r="R426">
        <v>0.301481087075051</v>
      </c>
      <c r="S426" t="s">
        <v>1752</v>
      </c>
      <c r="T426" t="s">
        <v>2650</v>
      </c>
      <c r="U426" t="s">
        <v>2650</v>
      </c>
      <c r="V426" t="s">
        <v>2650</v>
      </c>
      <c r="W426" t="s">
        <v>3076</v>
      </c>
      <c r="X426">
        <v>3</v>
      </c>
      <c r="Y426" t="s">
        <v>4391</v>
      </c>
      <c r="Z426" t="s">
        <v>5706</v>
      </c>
      <c r="AA426">
        <v>0.95041418661086852</v>
      </c>
      <c r="AB426" t="str">
        <f>HYPERLINK("Melting_Curves/meltCurve_P17936_IGFBP3.pdf", "Melting_Curves/meltCurve_P17936_IGFBP3.pdf")</f>
        <v>Melting_Curves/meltCurve_P17936_IGFBP3.pdf</v>
      </c>
    </row>
    <row r="427" spans="1:28" x14ac:dyDescent="0.25">
      <c r="A427" t="s">
        <v>431</v>
      </c>
      <c r="B427">
        <v>1</v>
      </c>
      <c r="C427">
        <v>0.76570880476059999</v>
      </c>
      <c r="D427">
        <v>1.1159221704576601</v>
      </c>
      <c r="E427">
        <v>1.3207923893043101</v>
      </c>
      <c r="F427">
        <v>1.07769251849822</v>
      </c>
      <c r="G427">
        <v>1.10343342598755</v>
      </c>
      <c r="H427">
        <v>1.1067219981991201</v>
      </c>
      <c r="I427">
        <v>1.40512077672944</v>
      </c>
      <c r="J427">
        <v>0.91193281916767799</v>
      </c>
      <c r="K427">
        <v>1.24022237012097</v>
      </c>
      <c r="L427">
        <v>11461.9014497481</v>
      </c>
      <c r="M427">
        <v>250</v>
      </c>
      <c r="O427">
        <v>45.844684339741796</v>
      </c>
      <c r="P427">
        <v>0.2270703812672</v>
      </c>
      <c r="Q427">
        <v>1.16655947387724</v>
      </c>
      <c r="R427">
        <v>0.30668258880613603</v>
      </c>
      <c r="S427" t="s">
        <v>1753</v>
      </c>
      <c r="T427" t="s">
        <v>2650</v>
      </c>
      <c r="U427" t="s">
        <v>2650</v>
      </c>
      <c r="V427" t="s">
        <v>2650</v>
      </c>
      <c r="W427" t="s">
        <v>3077</v>
      </c>
      <c r="X427">
        <v>4</v>
      </c>
      <c r="Y427" t="s">
        <v>4392</v>
      </c>
      <c r="Z427" t="s">
        <v>5707</v>
      </c>
      <c r="AA427">
        <v>1.1340802673523449</v>
      </c>
      <c r="AB427" t="str">
        <f>HYPERLINK("Melting_Curves/meltCurve_P17987_TCP1.pdf", "Melting_Curves/meltCurve_P17987_TCP1.pdf")</f>
        <v>Melting_Curves/meltCurve_P17987_TCP1.pdf</v>
      </c>
    </row>
    <row r="428" spans="1:28" x14ac:dyDescent="0.25">
      <c r="A428" t="s">
        <v>432</v>
      </c>
      <c r="B428">
        <v>1</v>
      </c>
      <c r="C428">
        <v>0.74373966226872301</v>
      </c>
      <c r="D428">
        <v>1.1114872228846899</v>
      </c>
      <c r="E428">
        <v>1.28873844417946</v>
      </c>
      <c r="F428">
        <v>0.966996191868292</v>
      </c>
      <c r="G428">
        <v>1.01611724429742</v>
      </c>
      <c r="H428">
        <v>0.91131027939121201</v>
      </c>
      <c r="I428">
        <v>1.0634560397994599</v>
      </c>
      <c r="J428">
        <v>0.66270467105178799</v>
      </c>
      <c r="K428">
        <v>0.90555320485697099</v>
      </c>
      <c r="L428">
        <v>8606.8828427256994</v>
      </c>
      <c r="M428">
        <v>131.75676578628401</v>
      </c>
      <c r="O428">
        <v>65.308979588166594</v>
      </c>
      <c r="P428">
        <v>-0.10846649803076901</v>
      </c>
      <c r="Q428">
        <v>0.78494200111286705</v>
      </c>
      <c r="R428">
        <v>0.274114708143884</v>
      </c>
      <c r="S428" t="s">
        <v>1754</v>
      </c>
      <c r="T428" t="s">
        <v>2650</v>
      </c>
      <c r="U428" t="s">
        <v>2650</v>
      </c>
      <c r="V428" t="s">
        <v>2650</v>
      </c>
      <c r="W428" t="s">
        <v>3078</v>
      </c>
      <c r="X428">
        <v>13</v>
      </c>
      <c r="Y428" t="s">
        <v>4393</v>
      </c>
      <c r="Z428" t="s">
        <v>5708</v>
      </c>
      <c r="AA428">
        <v>0.96656802776489781</v>
      </c>
      <c r="AB428" t="str">
        <f>HYPERLINK("Melting_Curves/meltCurve_P18065_IGFBP2.pdf", "Melting_Curves/meltCurve_P18065_IGFBP2.pdf")</f>
        <v>Melting_Curves/meltCurve_P18065_IGFBP2.pdf</v>
      </c>
    </row>
    <row r="429" spans="1:28" x14ac:dyDescent="0.25">
      <c r="A429" t="s">
        <v>433</v>
      </c>
      <c r="B429">
        <v>1</v>
      </c>
      <c r="C429">
        <v>0.79703943564241897</v>
      </c>
      <c r="D429">
        <v>1.3817013332452199</v>
      </c>
      <c r="E429">
        <v>1.59442581242049</v>
      </c>
      <c r="F429">
        <v>1.1828544994961101</v>
      </c>
      <c r="G429">
        <v>1.2207371673082299</v>
      </c>
      <c r="H429">
        <v>1.15158023426787</v>
      </c>
      <c r="I429">
        <v>1.2884732937930601</v>
      </c>
      <c r="J429">
        <v>0.78768854598622196</v>
      </c>
      <c r="K429">
        <v>1.1148375159014701</v>
      </c>
      <c r="L429">
        <v>11104.9204954297</v>
      </c>
      <c r="M429">
        <v>250</v>
      </c>
      <c r="O429">
        <v>44.416839434454403</v>
      </c>
      <c r="P429">
        <v>0.30282836836538501</v>
      </c>
      <c r="Q429">
        <v>1.2152108638838499</v>
      </c>
      <c r="R429">
        <v>0.25165800405788302</v>
      </c>
      <c r="S429" t="s">
        <v>1755</v>
      </c>
      <c r="T429" t="s">
        <v>2650</v>
      </c>
      <c r="U429" t="s">
        <v>2650</v>
      </c>
      <c r="V429" t="s">
        <v>2650</v>
      </c>
      <c r="W429" t="s">
        <v>3079</v>
      </c>
      <c r="X429">
        <v>8</v>
      </c>
      <c r="Y429" t="s">
        <v>4394</v>
      </c>
      <c r="Z429" t="s">
        <v>5709</v>
      </c>
      <c r="AA429">
        <v>1.183488634358653</v>
      </c>
      <c r="AB429" t="str">
        <f>HYPERLINK("Melting_Curves/meltCurve_P18206_2_VCL.pdf", "Melting_Curves/meltCurve_P18206_2_VCL.pdf")</f>
        <v>Melting_Curves/meltCurve_P18206_2_VCL.pdf</v>
      </c>
    </row>
    <row r="430" spans="1:28" x14ac:dyDescent="0.25">
      <c r="A430" t="s">
        <v>434</v>
      </c>
      <c r="B430">
        <v>1</v>
      </c>
      <c r="C430">
        <v>1.12232270347454</v>
      </c>
      <c r="D430">
        <v>1.89071138285798</v>
      </c>
      <c r="E430">
        <v>2.2056163731556402</v>
      </c>
      <c r="F430">
        <v>1.7470069197817899</v>
      </c>
      <c r="G430">
        <v>2.2358217698531799</v>
      </c>
      <c r="H430">
        <v>1.6663859700508901</v>
      </c>
      <c r="I430">
        <v>1.9770805111119201</v>
      </c>
      <c r="J430">
        <v>1.64661516493977</v>
      </c>
      <c r="K430">
        <v>2.0668546113572299</v>
      </c>
      <c r="L430">
        <v>10773.3643665284</v>
      </c>
      <c r="M430">
        <v>250</v>
      </c>
      <c r="O430">
        <v>43.090699814056897</v>
      </c>
      <c r="P430">
        <v>0.72521449414707895</v>
      </c>
      <c r="Q430">
        <v>1.5</v>
      </c>
      <c r="R430">
        <v>-0.16480573861401801</v>
      </c>
      <c r="S430" t="s">
        <v>1756</v>
      </c>
      <c r="T430" t="s">
        <v>2650</v>
      </c>
      <c r="U430" t="s">
        <v>2650</v>
      </c>
      <c r="V430" t="s">
        <v>2650</v>
      </c>
      <c r="W430" t="s">
        <v>3080</v>
      </c>
      <c r="X430">
        <v>1</v>
      </c>
      <c r="Y430" t="s">
        <v>4395</v>
      </c>
      <c r="Z430" t="s">
        <v>5710</v>
      </c>
      <c r="AA430">
        <v>1.448404561381331</v>
      </c>
      <c r="AB430" t="str">
        <f>HYPERLINK("Melting_Curves/meltCurve_P18428_LBP.pdf", "Melting_Curves/meltCurve_P18428_LBP.pdf")</f>
        <v>Melting_Curves/meltCurve_P18428_LBP.pdf</v>
      </c>
    </row>
    <row r="431" spans="1:28" x14ac:dyDescent="0.25">
      <c r="A431" t="s">
        <v>435</v>
      </c>
      <c r="B431">
        <v>1</v>
      </c>
      <c r="C431">
        <v>0.670225974670971</v>
      </c>
      <c r="D431">
        <v>1.1826669977650901</v>
      </c>
      <c r="E431">
        <v>1.34886184918467</v>
      </c>
      <c r="F431">
        <v>1.32931048754242</v>
      </c>
      <c r="G431">
        <v>1.3073255525204901</v>
      </c>
      <c r="H431">
        <v>1.67916563198411</v>
      </c>
      <c r="I431">
        <v>1.82104130452777</v>
      </c>
      <c r="J431">
        <v>0.96285075738763304</v>
      </c>
      <c r="K431">
        <v>1.5645228044036099</v>
      </c>
      <c r="L431">
        <v>1342.3854586054599</v>
      </c>
      <c r="M431">
        <v>27.8417361743718</v>
      </c>
      <c r="O431">
        <v>47.968181478160403</v>
      </c>
      <c r="P431">
        <v>6.6122840654621595E-2</v>
      </c>
      <c r="Q431">
        <v>1.45568489041597</v>
      </c>
      <c r="R431">
        <v>0.46046743284525699</v>
      </c>
      <c r="S431" t="s">
        <v>1757</v>
      </c>
      <c r="T431" t="s">
        <v>2650</v>
      </c>
      <c r="U431" t="s">
        <v>2650</v>
      </c>
      <c r="V431" t="s">
        <v>2650</v>
      </c>
      <c r="W431" t="s">
        <v>3081</v>
      </c>
      <c r="X431">
        <v>1</v>
      </c>
      <c r="Y431" t="s">
        <v>4396</v>
      </c>
      <c r="Z431" t="s">
        <v>5711</v>
      </c>
      <c r="AA431">
        <v>1.3276938683024599</v>
      </c>
      <c r="AB431" t="str">
        <f>HYPERLINK("Melting_Curves/meltCurve_P18510_4_IL1RN.pdf", "Melting_Curves/meltCurve_P18510_4_IL1RN.pdf")</f>
        <v>Melting_Curves/meltCurve_P18510_4_IL1RN.pdf</v>
      </c>
    </row>
    <row r="432" spans="1:28" x14ac:dyDescent="0.25">
      <c r="A432" t="s">
        <v>436</v>
      </c>
      <c r="B432">
        <v>1</v>
      </c>
      <c r="C432">
        <v>0.60537321334039196</v>
      </c>
      <c r="D432">
        <v>1.0286924298570701</v>
      </c>
      <c r="E432">
        <v>1.2216516675489699</v>
      </c>
      <c r="F432">
        <v>0.79637374272101602</v>
      </c>
      <c r="G432">
        <v>0.75751720487030205</v>
      </c>
      <c r="H432">
        <v>0.80929062996294299</v>
      </c>
      <c r="I432">
        <v>0.81135521439915304</v>
      </c>
      <c r="J432">
        <v>0.45569084171519297</v>
      </c>
      <c r="K432">
        <v>0.68988883006881996</v>
      </c>
      <c r="L432">
        <v>373.73801937654702</v>
      </c>
      <c r="M432">
        <v>4.9389116490410601</v>
      </c>
      <c r="O432">
        <v>65.853599781327006</v>
      </c>
      <c r="P432">
        <v>-1.88694166992272E-2</v>
      </c>
      <c r="Q432">
        <v>0</v>
      </c>
      <c r="R432">
        <v>0.30246643530834699</v>
      </c>
      <c r="S432" t="s">
        <v>1758</v>
      </c>
      <c r="T432" t="s">
        <v>2650</v>
      </c>
      <c r="U432" t="s">
        <v>2650</v>
      </c>
      <c r="V432" t="s">
        <v>2650</v>
      </c>
      <c r="W432" t="s">
        <v>3082</v>
      </c>
      <c r="X432">
        <v>1</v>
      </c>
      <c r="Y432" t="s">
        <v>4397</v>
      </c>
      <c r="Z432" t="s">
        <v>5712</v>
      </c>
      <c r="AA432">
        <v>0.83906742301549642</v>
      </c>
      <c r="AB432" t="str">
        <f>HYPERLINK("Melting_Curves/meltCurve_P18621_2_RPL17.pdf", "Melting_Curves/meltCurve_P18621_2_RPL17.pdf")</f>
        <v>Melting_Curves/meltCurve_P18621_2_RPL17.pdf</v>
      </c>
    </row>
    <row r="433" spans="1:28" x14ac:dyDescent="0.25">
      <c r="A433" t="s">
        <v>437</v>
      </c>
      <c r="B433">
        <v>1</v>
      </c>
      <c r="C433">
        <v>0.78107012035583501</v>
      </c>
      <c r="D433">
        <v>1.1956436420722101</v>
      </c>
      <c r="E433">
        <v>1.5565803244374701</v>
      </c>
      <c r="F433">
        <v>1.34366823652538</v>
      </c>
      <c r="G433">
        <v>1.47429356357928</v>
      </c>
      <c r="H433">
        <v>1.38173731030874</v>
      </c>
      <c r="I433">
        <v>1.6743197278911599</v>
      </c>
      <c r="J433">
        <v>1.0203427524856099</v>
      </c>
      <c r="K433">
        <v>1.37656985871272</v>
      </c>
      <c r="L433">
        <v>11502.880535279301</v>
      </c>
      <c r="M433">
        <v>250</v>
      </c>
      <c r="O433">
        <v>46.008577616876003</v>
      </c>
      <c r="P433">
        <v>0.54871596008714596</v>
      </c>
      <c r="Q433">
        <v>1.4039302537629901</v>
      </c>
      <c r="R433">
        <v>0.56667328152602903</v>
      </c>
      <c r="S433" t="s">
        <v>1759</v>
      </c>
      <c r="T433" t="s">
        <v>2650</v>
      </c>
      <c r="U433" t="s">
        <v>2650</v>
      </c>
      <c r="V433" t="s">
        <v>2650</v>
      </c>
      <c r="W433" t="s">
        <v>3083</v>
      </c>
      <c r="X433">
        <v>5</v>
      </c>
      <c r="Y433" t="s">
        <v>4398</v>
      </c>
      <c r="Z433" t="s">
        <v>5713</v>
      </c>
      <c r="AA433">
        <v>1.322956447796062</v>
      </c>
      <c r="AB433" t="str">
        <f>HYPERLINK("Melting_Curves/meltCurve_P18669_PGAM1.pdf", "Melting_Curves/meltCurve_P18669_PGAM1.pdf")</f>
        <v>Melting_Curves/meltCurve_P18669_PGAM1.pdf</v>
      </c>
    </row>
    <row r="434" spans="1:28" x14ac:dyDescent="0.25">
      <c r="A434" t="s">
        <v>438</v>
      </c>
      <c r="B434">
        <v>1</v>
      </c>
      <c r="C434">
        <v>0.93013536273470199</v>
      </c>
      <c r="D434">
        <v>1.0195662570436399</v>
      </c>
      <c r="E434">
        <v>1.05164992826399</v>
      </c>
      <c r="F434">
        <v>0.942923086519868</v>
      </c>
      <c r="G434">
        <v>1.08184143222506</v>
      </c>
      <c r="H434">
        <v>0.94086457488615804</v>
      </c>
      <c r="I434">
        <v>1.2404507932547399</v>
      </c>
      <c r="J434">
        <v>0.94938972407626898</v>
      </c>
      <c r="K434">
        <v>1.0465556317967299</v>
      </c>
      <c r="L434">
        <v>7431.3350204608896</v>
      </c>
      <c r="M434">
        <v>119.454648594213</v>
      </c>
      <c r="O434">
        <v>62.193060773941298</v>
      </c>
      <c r="P434">
        <v>3.6461988797528898E-2</v>
      </c>
      <c r="Q434">
        <v>1.07593453931075</v>
      </c>
      <c r="R434">
        <v>0.160408446619141</v>
      </c>
      <c r="S434" t="s">
        <v>1760</v>
      </c>
      <c r="T434" t="s">
        <v>2650</v>
      </c>
      <c r="U434" t="s">
        <v>2650</v>
      </c>
      <c r="V434" t="s">
        <v>2650</v>
      </c>
      <c r="W434" t="s">
        <v>3084</v>
      </c>
      <c r="X434">
        <v>1</v>
      </c>
      <c r="Y434" t="s">
        <v>4399</v>
      </c>
      <c r="Z434" t="s">
        <v>5714</v>
      </c>
      <c r="AA434">
        <v>1.0196800327980691</v>
      </c>
      <c r="AB434" t="str">
        <f>HYPERLINK("Melting_Curves/meltCurve_P18887_XRCC1.pdf", "Melting_Curves/meltCurve_P18887_XRCC1.pdf")</f>
        <v>Melting_Curves/meltCurve_P18887_XRCC1.pdf</v>
      </c>
    </row>
    <row r="435" spans="1:28" x14ac:dyDescent="0.25">
      <c r="A435" t="s">
        <v>439</v>
      </c>
      <c r="B435">
        <v>1</v>
      </c>
      <c r="C435">
        <v>0.90264011799410004</v>
      </c>
      <c r="D435">
        <v>1.2226401179941</v>
      </c>
      <c r="E435">
        <v>1.4315929203539799</v>
      </c>
      <c r="F435">
        <v>1.16914454277286</v>
      </c>
      <c r="G435">
        <v>1.3320796460177</v>
      </c>
      <c r="H435">
        <v>1.1602654867256601</v>
      </c>
      <c r="I435">
        <v>1.3933185840708</v>
      </c>
      <c r="J435">
        <v>0.97104719764011804</v>
      </c>
      <c r="K435">
        <v>1.19914454277286</v>
      </c>
      <c r="L435">
        <v>11372.7956398678</v>
      </c>
      <c r="M435">
        <v>250</v>
      </c>
      <c r="O435">
        <v>45.488271438218398</v>
      </c>
      <c r="P435">
        <v>0.32516101143399101</v>
      </c>
      <c r="Q435">
        <v>1.23665619724432</v>
      </c>
      <c r="R435">
        <v>0.43154559242292601</v>
      </c>
      <c r="S435" t="s">
        <v>1761</v>
      </c>
      <c r="T435" t="s">
        <v>2650</v>
      </c>
      <c r="U435" t="s">
        <v>2650</v>
      </c>
      <c r="V435" t="s">
        <v>2650</v>
      </c>
      <c r="W435" t="s">
        <v>3085</v>
      </c>
      <c r="X435">
        <v>6</v>
      </c>
      <c r="Y435" t="s">
        <v>4400</v>
      </c>
      <c r="Z435" t="s">
        <v>5715</v>
      </c>
      <c r="AA435">
        <v>1.193319890721753</v>
      </c>
      <c r="AB435" t="str">
        <f>HYPERLINK("Melting_Curves/meltCurve_P19021_2_PAM.pdf", "Melting_Curves/meltCurve_P19021_2_PAM.pdf")</f>
        <v>Melting_Curves/meltCurve_P19021_2_PAM.pdf</v>
      </c>
    </row>
    <row r="436" spans="1:28" x14ac:dyDescent="0.25">
      <c r="A436" t="s">
        <v>440</v>
      </c>
      <c r="B436">
        <v>1</v>
      </c>
      <c r="C436">
        <v>0.83699145469493497</v>
      </c>
      <c r="D436">
        <v>1.1000523181942701</v>
      </c>
      <c r="E436">
        <v>1.0874959515683</v>
      </c>
      <c r="F436">
        <v>0.89897605819776305</v>
      </c>
      <c r="G436">
        <v>0.97269488527367398</v>
      </c>
      <c r="H436">
        <v>0.83895961533670504</v>
      </c>
      <c r="I436">
        <v>0.79217220159944202</v>
      </c>
      <c r="J436">
        <v>0.39086673808515399</v>
      </c>
      <c r="K436">
        <v>0.46062433045168</v>
      </c>
      <c r="L436">
        <v>2192.59849823373</v>
      </c>
      <c r="M436">
        <v>34.149544922936698</v>
      </c>
      <c r="N436">
        <v>66.865692868679304</v>
      </c>
      <c r="O436">
        <v>63.986816486445797</v>
      </c>
      <c r="P436">
        <v>-8.3861125268116302E-2</v>
      </c>
      <c r="Q436">
        <v>0.37147208536054599</v>
      </c>
      <c r="R436">
        <v>0.84484495550222605</v>
      </c>
      <c r="S436" t="s">
        <v>1762</v>
      </c>
      <c r="T436" t="s">
        <v>2650</v>
      </c>
      <c r="U436" t="s">
        <v>2650</v>
      </c>
      <c r="V436" t="s">
        <v>2650</v>
      </c>
      <c r="W436" t="s">
        <v>3086</v>
      </c>
      <c r="X436">
        <v>3</v>
      </c>
      <c r="Y436" t="s">
        <v>4401</v>
      </c>
      <c r="Z436" t="s">
        <v>5716</v>
      </c>
      <c r="AA436">
        <v>0.87955985571084982</v>
      </c>
      <c r="AB436" t="str">
        <f>HYPERLINK("Melting_Curves/meltCurve_P19105_MYL12A.pdf", "Melting_Curves/meltCurve_P19105_MYL12A.pdf")</f>
        <v>Melting_Curves/meltCurve_P19105_MYL12A.pdf</v>
      </c>
    </row>
    <row r="437" spans="1:28" x14ac:dyDescent="0.25">
      <c r="A437" t="s">
        <v>441</v>
      </c>
      <c r="B437">
        <v>1</v>
      </c>
      <c r="C437">
        <v>0.59635663106664905</v>
      </c>
      <c r="D437">
        <v>1.2522644315262901</v>
      </c>
      <c r="E437">
        <v>1.5909828308773799</v>
      </c>
      <c r="F437">
        <v>1.0593483844801901</v>
      </c>
      <c r="G437">
        <v>1.04974989860754</v>
      </c>
      <c r="H437">
        <v>1.09584966878464</v>
      </c>
      <c r="I437">
        <v>1.35696904150331</v>
      </c>
      <c r="J437">
        <v>0.52675408949574198</v>
      </c>
      <c r="K437">
        <v>1.10747600378532</v>
      </c>
      <c r="L437">
        <v>1410.0925906651901</v>
      </c>
      <c r="M437">
        <v>20.686569618746301</v>
      </c>
      <c r="O437">
        <v>67.537237378966196</v>
      </c>
      <c r="P437">
        <v>-5.1735619369360098E-3</v>
      </c>
      <c r="Q437">
        <v>0.93243961548800303</v>
      </c>
      <c r="R437">
        <v>-4.0861551671375701E-2</v>
      </c>
      <c r="S437" t="s">
        <v>1763</v>
      </c>
      <c r="T437" t="s">
        <v>2650</v>
      </c>
      <c r="U437" t="s">
        <v>2650</v>
      </c>
      <c r="V437" t="s">
        <v>2650</v>
      </c>
      <c r="W437" t="s">
        <v>3087</v>
      </c>
      <c r="X437">
        <v>2</v>
      </c>
      <c r="Y437" t="s">
        <v>4402</v>
      </c>
      <c r="Z437" t="s">
        <v>5717</v>
      </c>
      <c r="AA437">
        <v>0.99302212780690791</v>
      </c>
      <c r="AB437" t="str">
        <f>HYPERLINK("Melting_Curves/meltCurve_P19438_5_TNFRSF1A.pdf", "Melting_Curves/meltCurve_P19438_5_TNFRSF1A.pdf")</f>
        <v>Melting_Curves/meltCurve_P19438_5_TNFRSF1A.pdf</v>
      </c>
    </row>
    <row r="438" spans="1:28" x14ac:dyDescent="0.25">
      <c r="A438" t="s">
        <v>442</v>
      </c>
      <c r="B438">
        <v>1</v>
      </c>
      <c r="C438">
        <v>0.80304618950389095</v>
      </c>
      <c r="D438">
        <v>1.0749958611555701</v>
      </c>
      <c r="E438">
        <v>1.2347000717399701</v>
      </c>
      <c r="F438">
        <v>1.01065062634512</v>
      </c>
      <c r="G438">
        <v>1.03371778599415</v>
      </c>
      <c r="H438">
        <v>0.93444070415540004</v>
      </c>
      <c r="I438">
        <v>1.1536890900060699</v>
      </c>
      <c r="J438">
        <v>0.75702223939076196</v>
      </c>
      <c r="K438">
        <v>1.0164450085536101</v>
      </c>
      <c r="L438">
        <v>15000</v>
      </c>
      <c r="M438">
        <v>229.04436710897099</v>
      </c>
      <c r="O438">
        <v>65.484502567053397</v>
      </c>
      <c r="P438">
        <v>-9.8673200667295097E-2</v>
      </c>
      <c r="Q438">
        <v>0.88715609065101197</v>
      </c>
      <c r="R438">
        <v>0.134554269694378</v>
      </c>
      <c r="S438" t="s">
        <v>1764</v>
      </c>
      <c r="T438" t="s">
        <v>2650</v>
      </c>
      <c r="U438" t="s">
        <v>2650</v>
      </c>
      <c r="V438" t="s">
        <v>2650</v>
      </c>
      <c r="W438" t="s">
        <v>3088</v>
      </c>
      <c r="X438">
        <v>8</v>
      </c>
      <c r="Y438" t="s">
        <v>4403</v>
      </c>
      <c r="Z438" t="s">
        <v>5718</v>
      </c>
      <c r="AA438">
        <v>0.98304935192516651</v>
      </c>
      <c r="AB438" t="str">
        <f>HYPERLINK("Melting_Curves/meltCurve_P19440_GGT1.pdf", "Melting_Curves/meltCurve_P19440_GGT1.pdf")</f>
        <v>Melting_Curves/meltCurve_P19440_GGT1.pdf</v>
      </c>
    </row>
    <row r="439" spans="1:28" x14ac:dyDescent="0.25">
      <c r="A439" t="s">
        <v>443</v>
      </c>
      <c r="B439">
        <v>1</v>
      </c>
      <c r="C439">
        <v>0.82425325430032503</v>
      </c>
      <c r="D439">
        <v>1.0520833333333299</v>
      </c>
      <c r="E439">
        <v>1.32577870757787</v>
      </c>
      <c r="F439">
        <v>1.0664807066480699</v>
      </c>
      <c r="G439">
        <v>1.01708507670851</v>
      </c>
      <c r="H439">
        <v>0.98664865178986505</v>
      </c>
      <c r="I439">
        <v>1.22254184100418</v>
      </c>
      <c r="J439">
        <v>0.87543584379358397</v>
      </c>
      <c r="K439">
        <v>1.0109687354718699</v>
      </c>
      <c r="L439">
        <v>11456.0898333554</v>
      </c>
      <c r="M439">
        <v>250</v>
      </c>
      <c r="O439">
        <v>45.821426775416199</v>
      </c>
      <c r="P439">
        <v>9.8390413296413404E-2</v>
      </c>
      <c r="Q439">
        <v>1.0721342259697599</v>
      </c>
      <c r="R439">
        <v>0.12598984341905201</v>
      </c>
      <c r="S439" t="s">
        <v>1765</v>
      </c>
      <c r="T439" t="s">
        <v>2650</v>
      </c>
      <c r="U439" t="s">
        <v>2650</v>
      </c>
      <c r="V439" t="s">
        <v>2650</v>
      </c>
      <c r="W439" t="s">
        <v>3089</v>
      </c>
      <c r="X439">
        <v>1</v>
      </c>
      <c r="Y439" t="s">
        <v>4404</v>
      </c>
      <c r="Z439" t="s">
        <v>5719</v>
      </c>
      <c r="AA439">
        <v>1.058123903117602</v>
      </c>
      <c r="AB439" t="str">
        <f>HYPERLINK("Melting_Curves/meltCurve_P19623_SRM.pdf", "Melting_Curves/meltCurve_P19623_SRM.pdf")</f>
        <v>Melting_Curves/meltCurve_P19623_SRM.pdf</v>
      </c>
    </row>
    <row r="440" spans="1:28" x14ac:dyDescent="0.25">
      <c r="A440" t="s">
        <v>444</v>
      </c>
      <c r="B440">
        <v>1</v>
      </c>
      <c r="C440">
        <v>0.80558737762966004</v>
      </c>
      <c r="D440">
        <v>1.0358388877317199</v>
      </c>
      <c r="E440">
        <v>1.21763695063528</v>
      </c>
      <c r="F440">
        <v>0.99281399708394102</v>
      </c>
      <c r="G440">
        <v>1.00844876067486</v>
      </c>
      <c r="H440">
        <v>0.90340554051239297</v>
      </c>
      <c r="I440">
        <v>1.0314908352426599</v>
      </c>
      <c r="J440">
        <v>0.75333263903353498</v>
      </c>
      <c r="K440">
        <v>0.96468183711726696</v>
      </c>
      <c r="L440">
        <v>1730.95573016911</v>
      </c>
      <c r="M440">
        <v>27.8097599689326</v>
      </c>
      <c r="O440">
        <v>61.9235549139364</v>
      </c>
      <c r="P440">
        <v>-1.29154185066363E-2</v>
      </c>
      <c r="Q440">
        <v>0.884966756546123</v>
      </c>
      <c r="R440">
        <v>0.146178340338492</v>
      </c>
      <c r="S440" t="s">
        <v>1766</v>
      </c>
      <c r="T440" t="s">
        <v>2650</v>
      </c>
      <c r="U440" t="s">
        <v>2650</v>
      </c>
      <c r="V440" t="s">
        <v>2650</v>
      </c>
      <c r="W440" t="s">
        <v>3090</v>
      </c>
      <c r="X440">
        <v>9</v>
      </c>
      <c r="Y440" t="s">
        <v>4405</v>
      </c>
      <c r="Z440" t="s">
        <v>5720</v>
      </c>
      <c r="AA440">
        <v>0.97075687803539312</v>
      </c>
      <c r="AB440" t="str">
        <f>HYPERLINK("Melting_Curves/meltCurve_P19652_ORM2.pdf", "Melting_Curves/meltCurve_P19652_ORM2.pdf")</f>
        <v>Melting_Curves/meltCurve_P19652_ORM2.pdf</v>
      </c>
    </row>
    <row r="441" spans="1:28" x14ac:dyDescent="0.25">
      <c r="A441" t="s">
        <v>445</v>
      </c>
      <c r="B441">
        <v>1</v>
      </c>
      <c r="C441">
        <v>0.79888074770668704</v>
      </c>
      <c r="D441">
        <v>1.2742456585703601</v>
      </c>
      <c r="E441">
        <v>1.7685917036866099</v>
      </c>
      <c r="F441">
        <v>1.5467605146252801</v>
      </c>
      <c r="G441">
        <v>2.04811630992904</v>
      </c>
      <c r="H441">
        <v>2.05345295101829</v>
      </c>
      <c r="I441">
        <v>3.3108809784803599</v>
      </c>
      <c r="J441">
        <v>2.4525471643685499</v>
      </c>
      <c r="K441">
        <v>3.5817515721456199</v>
      </c>
      <c r="L441">
        <v>11491.0494701647</v>
      </c>
      <c r="M441">
        <v>250</v>
      </c>
      <c r="O441">
        <v>45.961256624781299</v>
      </c>
      <c r="P441">
        <v>0.67992049025797496</v>
      </c>
      <c r="Q441">
        <v>1.5</v>
      </c>
      <c r="R441">
        <v>-0.20713965916709301</v>
      </c>
      <c r="S441" t="s">
        <v>1767</v>
      </c>
      <c r="T441" t="s">
        <v>2650</v>
      </c>
      <c r="U441" t="s">
        <v>2650</v>
      </c>
      <c r="V441" t="s">
        <v>2650</v>
      </c>
      <c r="W441" t="s">
        <v>3091</v>
      </c>
      <c r="X441">
        <v>7</v>
      </c>
      <c r="Y441" t="s">
        <v>4406</v>
      </c>
      <c r="Z441" t="s">
        <v>5721</v>
      </c>
      <c r="AA441">
        <v>1.40055636876306</v>
      </c>
      <c r="AB441" t="str">
        <f>HYPERLINK("Melting_Curves/meltCurve_P19801_AOC1.pdf", "Melting_Curves/meltCurve_P19801_AOC1.pdf")</f>
        <v>Melting_Curves/meltCurve_P19801_AOC1.pdf</v>
      </c>
    </row>
    <row r="442" spans="1:28" x14ac:dyDescent="0.25">
      <c r="A442" t="s">
        <v>446</v>
      </c>
      <c r="B442">
        <v>1</v>
      </c>
      <c r="C442">
        <v>0.81362353290744305</v>
      </c>
      <c r="D442">
        <v>1.2029416134304001</v>
      </c>
      <c r="E442">
        <v>1.52763333828554</v>
      </c>
      <c r="F442">
        <v>1.2040558609419101</v>
      </c>
      <c r="G442">
        <v>1.26689942059129</v>
      </c>
      <c r="H442">
        <v>1.1708512850988</v>
      </c>
      <c r="I442">
        <v>1.4280938939236401</v>
      </c>
      <c r="J442">
        <v>0.93247660080225803</v>
      </c>
      <c r="K442">
        <v>1.27789332937156</v>
      </c>
      <c r="L442">
        <v>11440.2186244678</v>
      </c>
      <c r="M442">
        <v>250</v>
      </c>
      <c r="O442">
        <v>45.757946117141302</v>
      </c>
      <c r="P442">
        <v>0.35276928594257401</v>
      </c>
      <c r="Q442">
        <v>1.2582719672782401</v>
      </c>
      <c r="R442">
        <v>0.40891926738739498</v>
      </c>
      <c r="S442" t="s">
        <v>1768</v>
      </c>
      <c r="T442" t="s">
        <v>2650</v>
      </c>
      <c r="U442" t="s">
        <v>2650</v>
      </c>
      <c r="V442" t="s">
        <v>2650</v>
      </c>
      <c r="W442" t="s">
        <v>3092</v>
      </c>
      <c r="X442">
        <v>7</v>
      </c>
      <c r="Y442" t="s">
        <v>4407</v>
      </c>
      <c r="Z442" t="s">
        <v>5722</v>
      </c>
      <c r="AA442">
        <v>1.20865547922709</v>
      </c>
      <c r="AB442" t="str">
        <f>HYPERLINK("Melting_Curves/meltCurve_P19827_ITIH1.pdf", "Melting_Curves/meltCurve_P19827_ITIH1.pdf")</f>
        <v>Melting_Curves/meltCurve_P19827_ITIH1.pdf</v>
      </c>
    </row>
    <row r="443" spans="1:28" x14ac:dyDescent="0.25">
      <c r="A443" t="s">
        <v>447</v>
      </c>
      <c r="B443">
        <v>1</v>
      </c>
      <c r="C443">
        <v>0.80074923688835398</v>
      </c>
      <c r="D443">
        <v>0.97197299047266705</v>
      </c>
      <c r="E443">
        <v>1.0836185366756099</v>
      </c>
      <c r="F443">
        <v>1.05059661455925</v>
      </c>
      <c r="G443">
        <v>1.3491813893256901</v>
      </c>
      <c r="H443">
        <v>2.0142447507168599</v>
      </c>
      <c r="I443">
        <v>2.7730089723429798</v>
      </c>
      <c r="J443">
        <v>3.05392655628527</v>
      </c>
      <c r="K443">
        <v>2.9899176764406601</v>
      </c>
      <c r="L443">
        <v>14202.147675977099</v>
      </c>
      <c r="M443">
        <v>250</v>
      </c>
      <c r="O443">
        <v>56.8049482147578</v>
      </c>
      <c r="P443">
        <v>0.55012806271743497</v>
      </c>
      <c r="Q443">
        <v>1.5</v>
      </c>
      <c r="R443">
        <v>0.124025800500609</v>
      </c>
      <c r="S443" t="s">
        <v>1769</v>
      </c>
      <c r="T443" t="s">
        <v>2650</v>
      </c>
      <c r="U443" t="s">
        <v>2650</v>
      </c>
      <c r="V443" t="s">
        <v>2650</v>
      </c>
      <c r="W443" t="s">
        <v>3093</v>
      </c>
      <c r="X443">
        <v>10</v>
      </c>
      <c r="Y443" t="s">
        <v>4408</v>
      </c>
      <c r="Z443" t="s">
        <v>5723</v>
      </c>
      <c r="AA443">
        <v>1.2198069725052529</v>
      </c>
      <c r="AB443" t="str">
        <f>HYPERLINK("Melting_Curves/meltCurve_P19835_CEL.pdf", "Melting_Curves/meltCurve_P19835_CEL.pdf")</f>
        <v>Melting_Curves/meltCurve_P19835_CEL.pdf</v>
      </c>
    </row>
    <row r="444" spans="1:28" x14ac:dyDescent="0.25">
      <c r="A444" t="s">
        <v>448</v>
      </c>
      <c r="B444">
        <v>1</v>
      </c>
      <c r="C444">
        <v>0.91041942155765798</v>
      </c>
      <c r="D444">
        <v>1.1418980775099199</v>
      </c>
      <c r="E444">
        <v>1.32370392974604</v>
      </c>
      <c r="F444">
        <v>1.0308208727494701</v>
      </c>
      <c r="G444">
        <v>1.1825178855999701</v>
      </c>
      <c r="H444">
        <v>0.97704540060353295</v>
      </c>
      <c r="I444">
        <v>1.10131217577052</v>
      </c>
      <c r="J444">
        <v>0.81439663649001504</v>
      </c>
      <c r="K444">
        <v>0.94961516292001502</v>
      </c>
      <c r="L444">
        <v>2278.9960154118498</v>
      </c>
      <c r="M444">
        <v>34.354290652914898</v>
      </c>
      <c r="O444">
        <v>66.114460129111507</v>
      </c>
      <c r="P444">
        <v>-1.4867672085269699E-2</v>
      </c>
      <c r="Q444">
        <v>0.88554973953141003</v>
      </c>
      <c r="R444">
        <v>-1.91594965839346E-2</v>
      </c>
      <c r="S444" t="s">
        <v>1770</v>
      </c>
      <c r="T444" t="s">
        <v>2650</v>
      </c>
      <c r="U444" t="s">
        <v>2650</v>
      </c>
      <c r="V444" t="s">
        <v>2650</v>
      </c>
      <c r="W444" t="s">
        <v>3094</v>
      </c>
      <c r="X444">
        <v>1</v>
      </c>
      <c r="Y444" t="s">
        <v>4409</v>
      </c>
      <c r="Z444" t="s">
        <v>5724</v>
      </c>
      <c r="AA444">
        <v>0.9853964942039134</v>
      </c>
      <c r="AB444" t="str">
        <f>HYPERLINK("Melting_Curves/meltCurve_P19883_2_FST.pdf", "Melting_Curves/meltCurve_P19883_2_FST.pdf")</f>
        <v>Melting_Curves/meltCurve_P19883_2_FST.pdf</v>
      </c>
    </row>
    <row r="445" spans="1:28" x14ac:dyDescent="0.25">
      <c r="A445" t="s">
        <v>449</v>
      </c>
      <c r="B445">
        <v>1</v>
      </c>
      <c r="C445">
        <v>0.95265067705106599</v>
      </c>
      <c r="D445">
        <v>1.74714576511196</v>
      </c>
      <c r="E445">
        <v>2.3658730861138202</v>
      </c>
      <c r="F445">
        <v>1.8283033896805001</v>
      </c>
      <c r="G445">
        <v>2.36746614744668</v>
      </c>
      <c r="H445">
        <v>2.3656960792990498</v>
      </c>
      <c r="I445">
        <v>2.5297813965837701</v>
      </c>
      <c r="J445">
        <v>1.9415877511284201</v>
      </c>
      <c r="K445">
        <v>2.4943800336312898</v>
      </c>
      <c r="L445">
        <v>11063.8725176688</v>
      </c>
      <c r="M445">
        <v>250</v>
      </c>
      <c r="O445">
        <v>44.2526604224119</v>
      </c>
      <c r="P445">
        <v>0.70617227164336005</v>
      </c>
      <c r="Q445">
        <v>1.5</v>
      </c>
      <c r="R445">
        <v>-0.50312251826896004</v>
      </c>
      <c r="S445" t="s">
        <v>1771</v>
      </c>
      <c r="T445" t="s">
        <v>2650</v>
      </c>
      <c r="U445" t="s">
        <v>2650</v>
      </c>
      <c r="V445" t="s">
        <v>2650</v>
      </c>
      <c r="W445" t="s">
        <v>3095</v>
      </c>
      <c r="X445">
        <v>3</v>
      </c>
      <c r="Y445" t="s">
        <v>4410</v>
      </c>
      <c r="Z445" t="s">
        <v>5725</v>
      </c>
      <c r="AA445">
        <v>1.4290363316405861</v>
      </c>
      <c r="AB445" t="str">
        <f>HYPERLINK("Melting_Curves/meltCurve_P19971_TYMP.pdf", "Melting_Curves/meltCurve_P19971_TYMP.pdf")</f>
        <v>Melting_Curves/meltCurve_P19971_TYMP.pdf</v>
      </c>
    </row>
    <row r="446" spans="1:28" x14ac:dyDescent="0.25">
      <c r="A446" t="s">
        <v>450</v>
      </c>
      <c r="B446">
        <v>1</v>
      </c>
      <c r="C446">
        <v>0.91599186540950295</v>
      </c>
      <c r="D446">
        <v>1.01793307450545</v>
      </c>
      <c r="E446">
        <v>1.3466444814198599</v>
      </c>
      <c r="F446">
        <v>1.2141800702532799</v>
      </c>
      <c r="G446">
        <v>1.2853577371048299</v>
      </c>
      <c r="H446">
        <v>1.17461638010723</v>
      </c>
      <c r="I446">
        <v>1.3483083749306699</v>
      </c>
      <c r="J446">
        <v>0.99278979478646701</v>
      </c>
      <c r="K446">
        <v>1.26132371972638</v>
      </c>
      <c r="L446">
        <v>11614.039517535201</v>
      </c>
      <c r="M446">
        <v>250</v>
      </c>
      <c r="O446">
        <v>46.453186948749398</v>
      </c>
      <c r="P446">
        <v>0.31199239957260999</v>
      </c>
      <c r="Q446">
        <v>1.2318886511477301</v>
      </c>
      <c r="R446">
        <v>0.57739094284025605</v>
      </c>
      <c r="S446" t="s">
        <v>1772</v>
      </c>
      <c r="T446" t="s">
        <v>2650</v>
      </c>
      <c r="U446" t="s">
        <v>2650</v>
      </c>
      <c r="V446" t="s">
        <v>2650</v>
      </c>
      <c r="W446" t="s">
        <v>3096</v>
      </c>
      <c r="X446">
        <v>4</v>
      </c>
      <c r="Y446" t="s">
        <v>4411</v>
      </c>
      <c r="Z446" t="s">
        <v>5726</v>
      </c>
      <c r="AA446">
        <v>1.1819660857550209</v>
      </c>
      <c r="AB446" t="str">
        <f>HYPERLINK("Melting_Curves/meltCurve_P20061_TCN1.pdf", "Melting_Curves/meltCurve_P20061_TCN1.pdf")</f>
        <v>Melting_Curves/meltCurve_P20061_TCN1.pdf</v>
      </c>
    </row>
    <row r="447" spans="1:28" x14ac:dyDescent="0.25">
      <c r="A447" t="s">
        <v>451</v>
      </c>
      <c r="B447">
        <v>1</v>
      </c>
      <c r="C447">
        <v>0.836774132730015</v>
      </c>
      <c r="D447">
        <v>1.22268570889894</v>
      </c>
      <c r="E447">
        <v>1.47146021870287</v>
      </c>
      <c r="F447">
        <v>1.3041101055806901</v>
      </c>
      <c r="G447">
        <v>1.9715309200603299</v>
      </c>
      <c r="H447">
        <v>2.5106052036199098</v>
      </c>
      <c r="I447">
        <v>3.5447303921568598</v>
      </c>
      <c r="J447">
        <v>2.6887726244343901</v>
      </c>
      <c r="K447">
        <v>3.54614441930618</v>
      </c>
      <c r="L447">
        <v>11510.0919470964</v>
      </c>
      <c r="M447">
        <v>250</v>
      </c>
      <c r="O447">
        <v>46.037421282290097</v>
      </c>
      <c r="P447">
        <v>0.67879561911769704</v>
      </c>
      <c r="Q447">
        <v>1.5</v>
      </c>
      <c r="R447">
        <v>-0.20120068136170099</v>
      </c>
      <c r="S447" t="s">
        <v>1773</v>
      </c>
      <c r="T447" t="s">
        <v>2650</v>
      </c>
      <c r="U447" t="s">
        <v>2650</v>
      </c>
      <c r="V447" t="s">
        <v>2650</v>
      </c>
      <c r="W447" t="s">
        <v>3097</v>
      </c>
      <c r="X447">
        <v>5</v>
      </c>
      <c r="Y447" t="s">
        <v>4412</v>
      </c>
      <c r="Z447" t="s">
        <v>5727</v>
      </c>
      <c r="AA447">
        <v>1.3992868034624459</v>
      </c>
      <c r="AB447" t="str">
        <f>HYPERLINK("Melting_Curves/meltCurve_P20073_2_ANXA7.pdf", "Melting_Curves/meltCurve_P20073_2_ANXA7.pdf")</f>
        <v>Melting_Curves/meltCurve_P20073_2_ANXA7.pdf</v>
      </c>
    </row>
    <row r="448" spans="1:28" x14ac:dyDescent="0.25">
      <c r="A448" t="s">
        <v>452</v>
      </c>
      <c r="B448">
        <v>1</v>
      </c>
      <c r="C448">
        <v>0.81245136186770395</v>
      </c>
      <c r="D448">
        <v>1.1819455252918301</v>
      </c>
      <c r="E448">
        <v>1.47964980544747</v>
      </c>
      <c r="F448">
        <v>1.6438132295719801</v>
      </c>
      <c r="G448">
        <v>4.1513618677042796</v>
      </c>
      <c r="H448">
        <v>4.5949416342412404</v>
      </c>
      <c r="I448">
        <v>5.6762645914396899</v>
      </c>
      <c r="J448">
        <v>4.51750972762646</v>
      </c>
      <c r="K448">
        <v>5.6182879377431902</v>
      </c>
      <c r="L448">
        <v>10289.696357757401</v>
      </c>
      <c r="M448">
        <v>223.130528561744</v>
      </c>
      <c r="O448">
        <v>46.111439439906299</v>
      </c>
      <c r="P448">
        <v>0.60486761389654797</v>
      </c>
      <c r="Q448">
        <v>1.5</v>
      </c>
      <c r="R448">
        <v>-0.65370820450150902</v>
      </c>
      <c r="S448" t="s">
        <v>1774</v>
      </c>
      <c r="T448" t="s">
        <v>2650</v>
      </c>
      <c r="U448" t="s">
        <v>2650</v>
      </c>
      <c r="V448" t="s">
        <v>2650</v>
      </c>
      <c r="W448" t="s">
        <v>3098</v>
      </c>
      <c r="X448">
        <v>5</v>
      </c>
      <c r="Y448" t="s">
        <v>4413</v>
      </c>
      <c r="Z448" t="s">
        <v>5728</v>
      </c>
      <c r="AA448">
        <v>1.398030139494443</v>
      </c>
      <c r="AB448" t="str">
        <f>HYPERLINK("Melting_Curves/meltCurve_P20142_PGC.pdf", "Melting_Curves/meltCurve_P20142_PGC.pdf")</f>
        <v>Melting_Curves/meltCurve_P20142_PGC.pdf</v>
      </c>
    </row>
    <row r="449" spans="1:28" x14ac:dyDescent="0.25">
      <c r="A449" t="s">
        <v>453</v>
      </c>
      <c r="B449">
        <v>1</v>
      </c>
      <c r="C449">
        <v>0.78558775148677695</v>
      </c>
      <c r="D449">
        <v>1.1448184233835299</v>
      </c>
      <c r="E449">
        <v>1.3796870386772999</v>
      </c>
      <c r="F449">
        <v>1.2424395799063599</v>
      </c>
      <c r="G449">
        <v>1.3836939558817301</v>
      </c>
      <c r="H449">
        <v>1.2969969210004599</v>
      </c>
      <c r="I449">
        <v>1.6277995697836301</v>
      </c>
      <c r="J449">
        <v>1.1175292083175199</v>
      </c>
      <c r="K449">
        <v>1.41224851322283</v>
      </c>
      <c r="L449">
        <v>11516.3587963588</v>
      </c>
      <c r="M449">
        <v>250</v>
      </c>
      <c r="O449">
        <v>46.062481126064597</v>
      </c>
      <c r="P449">
        <v>0.47691325229967801</v>
      </c>
      <c r="Q449">
        <v>1.3514849697470299</v>
      </c>
      <c r="R449">
        <v>0.61407897250386101</v>
      </c>
      <c r="S449" t="s">
        <v>1775</v>
      </c>
      <c r="T449" t="s">
        <v>2650</v>
      </c>
      <c r="U449" t="s">
        <v>2650</v>
      </c>
      <c r="V449" t="s">
        <v>2650</v>
      </c>
      <c r="W449" t="s">
        <v>3099</v>
      </c>
      <c r="X449">
        <v>7</v>
      </c>
      <c r="Y449" t="s">
        <v>4414</v>
      </c>
      <c r="Z449" t="s">
        <v>5729</v>
      </c>
      <c r="AA449">
        <v>1.280392910831478</v>
      </c>
      <c r="AB449" t="str">
        <f>HYPERLINK("Melting_Curves/meltCurve_P20151_2_KLK2.pdf", "Melting_Curves/meltCurve_P20151_2_KLK2.pdf")</f>
        <v>Melting_Curves/meltCurve_P20151_2_KLK2.pdf</v>
      </c>
    </row>
    <row r="450" spans="1:28" x14ac:dyDescent="0.25">
      <c r="A450" t="s">
        <v>454</v>
      </c>
      <c r="B450">
        <v>1</v>
      </c>
      <c r="C450">
        <v>0.68487535717804704</v>
      </c>
      <c r="D450">
        <v>1.16178933885112</v>
      </c>
      <c r="E450">
        <v>1.3118533845699101</v>
      </c>
      <c r="F450">
        <v>0.89346733668341705</v>
      </c>
      <c r="G450">
        <v>0.89527046999704396</v>
      </c>
      <c r="H450">
        <v>0.89378263868361396</v>
      </c>
      <c r="I450">
        <v>1.01812986501133</v>
      </c>
      <c r="J450">
        <v>0.53238742733274202</v>
      </c>
      <c r="K450">
        <v>0.83977731796236099</v>
      </c>
      <c r="L450">
        <v>15000</v>
      </c>
      <c r="M450">
        <v>230.10346758788</v>
      </c>
      <c r="O450">
        <v>65.183141769125498</v>
      </c>
      <c r="P450">
        <v>-0.27704375936364001</v>
      </c>
      <c r="Q450">
        <v>0.68607891406567201</v>
      </c>
      <c r="R450">
        <v>0.31146043387656502</v>
      </c>
      <c r="S450" t="s">
        <v>1776</v>
      </c>
      <c r="T450" t="s">
        <v>2650</v>
      </c>
      <c r="U450" t="s">
        <v>2650</v>
      </c>
      <c r="V450" t="s">
        <v>2650</v>
      </c>
      <c r="W450" t="s">
        <v>3100</v>
      </c>
      <c r="X450">
        <v>7</v>
      </c>
      <c r="Y450" t="s">
        <v>4415</v>
      </c>
      <c r="Z450" t="s">
        <v>5730</v>
      </c>
      <c r="AA450">
        <v>0.94969014135202123</v>
      </c>
      <c r="AB450" t="str">
        <f>HYPERLINK("Melting_Curves/meltCurve_P20155_SPINK2.pdf", "Melting_Curves/meltCurve_P20155_SPINK2.pdf")</f>
        <v>Melting_Curves/meltCurve_P20155_SPINK2.pdf</v>
      </c>
    </row>
    <row r="451" spans="1:28" x14ac:dyDescent="0.25">
      <c r="A451" t="s">
        <v>455</v>
      </c>
      <c r="B451">
        <v>1</v>
      </c>
      <c r="C451">
        <v>1.4494364433312501</v>
      </c>
      <c r="D451">
        <v>1.34789188060948</v>
      </c>
      <c r="E451">
        <v>1.39135879774577</v>
      </c>
      <c r="F451">
        <v>1.7035065748278</v>
      </c>
      <c r="G451">
        <v>2.49843456480902</v>
      </c>
      <c r="H451">
        <v>1.8371425589647301</v>
      </c>
      <c r="I451">
        <v>2.2048111041536198</v>
      </c>
      <c r="J451">
        <v>2.16212690461282</v>
      </c>
      <c r="K451">
        <v>2.2913274890419499</v>
      </c>
      <c r="L451">
        <v>4295.35720580614</v>
      </c>
      <c r="M451">
        <v>102.3002712599</v>
      </c>
      <c r="O451">
        <v>41.971703556636399</v>
      </c>
      <c r="P451">
        <v>0.30467038271804597</v>
      </c>
      <c r="Q451">
        <v>1.5</v>
      </c>
      <c r="R451">
        <v>-0.26770329136139398</v>
      </c>
      <c r="S451" t="s">
        <v>1777</v>
      </c>
      <c r="T451" t="s">
        <v>2650</v>
      </c>
      <c r="U451" t="s">
        <v>2650</v>
      </c>
      <c r="V451" t="s">
        <v>2650</v>
      </c>
      <c r="W451" t="s">
        <v>3101</v>
      </c>
      <c r="X451">
        <v>3</v>
      </c>
      <c r="Y451" t="s">
        <v>4416</v>
      </c>
      <c r="Z451" t="s">
        <v>5731</v>
      </c>
      <c r="AA451">
        <v>1.4666130609396399</v>
      </c>
      <c r="AB451" t="str">
        <f>HYPERLINK("Melting_Curves/meltCurve_P20160_AZU1.pdf", "Melting_Curves/meltCurve_P20160_AZU1.pdf")</f>
        <v>Melting_Curves/meltCurve_P20160_AZU1.pdf</v>
      </c>
    </row>
    <row r="452" spans="1:28" x14ac:dyDescent="0.25">
      <c r="A452" t="s">
        <v>456</v>
      </c>
      <c r="B452">
        <v>1</v>
      </c>
      <c r="C452">
        <v>0.77467780455861102</v>
      </c>
      <c r="D452">
        <v>1.091898614367</v>
      </c>
      <c r="E452">
        <v>1.1704691781952701</v>
      </c>
      <c r="F452">
        <v>0.970328303672643</v>
      </c>
      <c r="G452">
        <v>1.0860435170205001</v>
      </c>
      <c r="H452">
        <v>1.05288297509382</v>
      </c>
      <c r="I452">
        <v>1.1706892946368599</v>
      </c>
      <c r="J452">
        <v>0.74279393799319804</v>
      </c>
      <c r="K452">
        <v>0.89485037584882399</v>
      </c>
      <c r="L452">
        <v>8525.0683654914592</v>
      </c>
      <c r="M452">
        <v>129.83142366846599</v>
      </c>
      <c r="O452">
        <v>65.647020703160294</v>
      </c>
      <c r="P452">
        <v>-8.9759096603211894E-2</v>
      </c>
      <c r="Q452">
        <v>0.81845944552427097</v>
      </c>
      <c r="R452">
        <v>0.29824025766728202</v>
      </c>
      <c r="S452" t="s">
        <v>1778</v>
      </c>
      <c r="T452" t="s">
        <v>2650</v>
      </c>
      <c r="U452" t="s">
        <v>2650</v>
      </c>
      <c r="V452" t="s">
        <v>2650</v>
      </c>
      <c r="W452" t="s">
        <v>3102</v>
      </c>
      <c r="X452">
        <v>4</v>
      </c>
      <c r="Y452" t="s">
        <v>4417</v>
      </c>
      <c r="Z452" t="s">
        <v>5732</v>
      </c>
      <c r="AA452">
        <v>0.97382932519556442</v>
      </c>
      <c r="AB452" t="str">
        <f>HYPERLINK("Melting_Curves/meltCurve_P20618_PSMB1.pdf", "Melting_Curves/meltCurve_P20618_PSMB1.pdf")</f>
        <v>Melting_Curves/meltCurve_P20618_PSMB1.pdf</v>
      </c>
    </row>
    <row r="453" spans="1:28" x14ac:dyDescent="0.25">
      <c r="A453" t="s">
        <v>457</v>
      </c>
      <c r="B453">
        <v>1</v>
      </c>
      <c r="C453">
        <v>0.76539467427484498</v>
      </c>
      <c r="D453">
        <v>1.0105801236329099</v>
      </c>
      <c r="E453">
        <v>1.2620660960532599</v>
      </c>
      <c r="F453">
        <v>0.91149548264384195</v>
      </c>
      <c r="G453">
        <v>1.0934973846885401</v>
      </c>
      <c r="H453">
        <v>1.0611626248216799</v>
      </c>
      <c r="I453">
        <v>1.1405135520684699</v>
      </c>
      <c r="J453">
        <v>0.75160485021398005</v>
      </c>
      <c r="K453">
        <v>0.91018782691393296</v>
      </c>
      <c r="L453">
        <v>3578.3697921537901</v>
      </c>
      <c r="M453">
        <v>54.320052018220203</v>
      </c>
      <c r="O453">
        <v>65.786568604187593</v>
      </c>
      <c r="P453">
        <v>-3.3743847786527302E-2</v>
      </c>
      <c r="Q453">
        <v>0.83653251432324405</v>
      </c>
      <c r="R453">
        <v>0.164099960221606</v>
      </c>
      <c r="S453" t="s">
        <v>1779</v>
      </c>
      <c r="T453" t="s">
        <v>2650</v>
      </c>
      <c r="U453" t="s">
        <v>2650</v>
      </c>
      <c r="V453" t="s">
        <v>2650</v>
      </c>
      <c r="W453" t="s">
        <v>3103</v>
      </c>
      <c r="X453">
        <v>1</v>
      </c>
      <c r="Y453" t="s">
        <v>4418</v>
      </c>
      <c r="Z453" t="s">
        <v>5733</v>
      </c>
      <c r="AA453">
        <v>0.97761848134879359</v>
      </c>
      <c r="AB453" t="str">
        <f>HYPERLINK("Melting_Curves/meltCurve_P20700_LMNB1.pdf", "Melting_Curves/meltCurve_P20700_LMNB1.pdf")</f>
        <v>Melting_Curves/meltCurve_P20700_LMNB1.pdf</v>
      </c>
    </row>
    <row r="454" spans="1:28" x14ac:dyDescent="0.25">
      <c r="A454" t="s">
        <v>458</v>
      </c>
      <c r="B454">
        <v>1</v>
      </c>
      <c r="C454">
        <v>0.78556489603638702</v>
      </c>
      <c r="D454">
        <v>1.21355181936322</v>
      </c>
      <c r="E454">
        <v>1.29152452891488</v>
      </c>
      <c r="F454">
        <v>0.99024325860948703</v>
      </c>
      <c r="G454">
        <v>0.98714668615984402</v>
      </c>
      <c r="H454">
        <v>0.93942901234567899</v>
      </c>
      <c r="I454">
        <v>1.0792316439246299</v>
      </c>
      <c r="J454">
        <v>0.65526518843404802</v>
      </c>
      <c r="K454">
        <v>0.92557058154645899</v>
      </c>
      <c r="L454">
        <v>15000</v>
      </c>
      <c r="M454">
        <v>229.39248489778799</v>
      </c>
      <c r="O454">
        <v>65.385146735890103</v>
      </c>
      <c r="P454">
        <v>-0.183709182441298</v>
      </c>
      <c r="Q454">
        <v>0.79054500001452799</v>
      </c>
      <c r="R454">
        <v>0.276779936454423</v>
      </c>
      <c r="S454" t="s">
        <v>1780</v>
      </c>
      <c r="T454" t="s">
        <v>2650</v>
      </c>
      <c r="U454" t="s">
        <v>2650</v>
      </c>
      <c r="V454" t="s">
        <v>2650</v>
      </c>
      <c r="W454" t="s">
        <v>3104</v>
      </c>
      <c r="X454">
        <v>4</v>
      </c>
      <c r="Y454" t="s">
        <v>4419</v>
      </c>
      <c r="Z454" t="s">
        <v>5734</v>
      </c>
      <c r="AA454">
        <v>0.96784307179760209</v>
      </c>
      <c r="AB454" t="str">
        <f>HYPERLINK("Melting_Curves/meltCurve_P20810_3_CAST.pdf", "Melting_Curves/meltCurve_P20810_3_CAST.pdf")</f>
        <v>Melting_Curves/meltCurve_P20810_3_CAST.pdf</v>
      </c>
    </row>
    <row r="455" spans="1:28" x14ac:dyDescent="0.25">
      <c r="A455" t="s">
        <v>459</v>
      </c>
      <c r="B455">
        <v>1</v>
      </c>
      <c r="C455">
        <v>0.75328998032001404</v>
      </c>
      <c r="D455">
        <v>1.1300590399589301</v>
      </c>
      <c r="E455">
        <v>1.18550526225721</v>
      </c>
      <c r="F455">
        <v>0.88337468982630296</v>
      </c>
      <c r="G455">
        <v>0.99811756652690997</v>
      </c>
      <c r="H455">
        <v>0.95713185590827399</v>
      </c>
      <c r="I455">
        <v>0.95345255411996199</v>
      </c>
      <c r="J455">
        <v>0.66652691024214905</v>
      </c>
      <c r="K455">
        <v>0.90810302045007296</v>
      </c>
      <c r="L455">
        <v>15000</v>
      </c>
      <c r="M455">
        <v>233.104607170001</v>
      </c>
      <c r="O455">
        <v>64.344075639811606</v>
      </c>
      <c r="P455">
        <v>-0.19262515614936801</v>
      </c>
      <c r="Q455">
        <v>0.787318079975454</v>
      </c>
      <c r="R455">
        <v>0.27929369998803399</v>
      </c>
      <c r="S455" t="s">
        <v>1781</v>
      </c>
      <c r="T455" t="s">
        <v>2650</v>
      </c>
      <c r="U455" t="s">
        <v>2650</v>
      </c>
      <c r="V455" t="s">
        <v>2650</v>
      </c>
      <c r="W455" t="s">
        <v>3105</v>
      </c>
      <c r="X455">
        <v>3</v>
      </c>
      <c r="Y455" t="s">
        <v>4420</v>
      </c>
      <c r="Z455" t="s">
        <v>5735</v>
      </c>
      <c r="AA455">
        <v>0.9599639718797417</v>
      </c>
      <c r="AB455" t="str">
        <f>HYPERLINK("Melting_Curves/meltCurve_P20827_EFNA1.pdf", "Melting_Curves/meltCurve_P20827_EFNA1.pdf")</f>
        <v>Melting_Curves/meltCurve_P20827_EFNA1.pdf</v>
      </c>
    </row>
    <row r="456" spans="1:28" x14ac:dyDescent="0.25">
      <c r="A456" t="s">
        <v>460</v>
      </c>
      <c r="B456">
        <v>1</v>
      </c>
      <c r="C456">
        <v>0.92346661841867195</v>
      </c>
      <c r="D456">
        <v>1.0817803510041599</v>
      </c>
      <c r="E456">
        <v>1.27881309933056</v>
      </c>
      <c r="F456">
        <v>1.0674868825764401</v>
      </c>
      <c r="G456">
        <v>1.13162656052108</v>
      </c>
      <c r="H456">
        <v>1.0469513298353501</v>
      </c>
      <c r="I456">
        <v>1.22200108557988</v>
      </c>
      <c r="J456">
        <v>0.88182558349918605</v>
      </c>
      <c r="K456">
        <v>1.14383933417767</v>
      </c>
      <c r="L456">
        <v>11451.6437932561</v>
      </c>
      <c r="M456">
        <v>250</v>
      </c>
      <c r="O456">
        <v>45.803643636584802</v>
      </c>
      <c r="P456">
        <v>0.150593112098271</v>
      </c>
      <c r="Q456">
        <v>1.1103634122502399</v>
      </c>
      <c r="R456">
        <v>0.228232397767726</v>
      </c>
      <c r="S456" t="s">
        <v>1782</v>
      </c>
      <c r="T456" t="s">
        <v>2650</v>
      </c>
      <c r="U456" t="s">
        <v>2650</v>
      </c>
      <c r="V456" t="s">
        <v>2650</v>
      </c>
      <c r="W456" t="s">
        <v>3106</v>
      </c>
      <c r="X456">
        <v>5</v>
      </c>
      <c r="Y456" t="s">
        <v>4421</v>
      </c>
      <c r="Z456" t="s">
        <v>5736</v>
      </c>
      <c r="AA456">
        <v>1.088993425168592</v>
      </c>
      <c r="AB456" t="str">
        <f>HYPERLINK("Melting_Curves/meltCurve_P20849_3_COL9A1.pdf", "Melting_Curves/meltCurve_P20849_3_COL9A1.pdf")</f>
        <v>Melting_Curves/meltCurve_P20849_3_COL9A1.pdf</v>
      </c>
    </row>
    <row r="457" spans="1:28" x14ac:dyDescent="0.25">
      <c r="A457" t="s">
        <v>461</v>
      </c>
      <c r="B457">
        <v>1</v>
      </c>
      <c r="C457">
        <v>1.0279421240700599</v>
      </c>
      <c r="D457">
        <v>1.4315505828598201</v>
      </c>
      <c r="E457">
        <v>1.8275437877101499</v>
      </c>
      <c r="F457">
        <v>1.4295589010602801</v>
      </c>
      <c r="G457">
        <v>1.40882197879445</v>
      </c>
      <c r="H457">
        <v>1.23835744830414</v>
      </c>
      <c r="I457">
        <v>1.5223478413684</v>
      </c>
      <c r="J457">
        <v>1.06281998711265</v>
      </c>
      <c r="K457">
        <v>1.45099876984359</v>
      </c>
      <c r="L457">
        <v>10838.4743317586</v>
      </c>
      <c r="M457">
        <v>250</v>
      </c>
      <c r="O457">
        <v>43.351124143932601</v>
      </c>
      <c r="P457">
        <v>0.60768313615639902</v>
      </c>
      <c r="Q457">
        <v>1.4214999412607201</v>
      </c>
      <c r="R457">
        <v>0.44019241169342099</v>
      </c>
      <c r="S457" t="s">
        <v>1783</v>
      </c>
      <c r="T457" t="s">
        <v>2650</v>
      </c>
      <c r="U457" t="s">
        <v>2650</v>
      </c>
      <c r="V457" t="s">
        <v>2650</v>
      </c>
      <c r="W457" t="s">
        <v>3107</v>
      </c>
      <c r="X457">
        <v>3</v>
      </c>
      <c r="Y457" t="s">
        <v>4422</v>
      </c>
      <c r="Z457" t="s">
        <v>5737</v>
      </c>
      <c r="AA457">
        <v>1.374345620383137</v>
      </c>
      <c r="AB457" t="str">
        <f>HYPERLINK("Melting_Curves/meltCurve_P20933_AGA.pdf", "Melting_Curves/meltCurve_P20933_AGA.pdf")</f>
        <v>Melting_Curves/meltCurve_P20933_AGA.pdf</v>
      </c>
    </row>
    <row r="458" spans="1:28" x14ac:dyDescent="0.25">
      <c r="A458" t="s">
        <v>462</v>
      </c>
      <c r="B458">
        <v>1</v>
      </c>
      <c r="C458">
        <v>0.84289267817873703</v>
      </c>
      <c r="D458">
        <v>1.2515231262842901</v>
      </c>
      <c r="E458">
        <v>1.3632430873499399</v>
      </c>
      <c r="F458">
        <v>1.01968347813548</v>
      </c>
      <c r="G458">
        <v>1.0864126320343199</v>
      </c>
      <c r="H458">
        <v>1.0392588052921901</v>
      </c>
      <c r="I458">
        <v>1.2328130069577099</v>
      </c>
      <c r="J458">
        <v>0.69505029020512599</v>
      </c>
      <c r="K458">
        <v>1.0943797541367799</v>
      </c>
      <c r="L458">
        <v>15000</v>
      </c>
      <c r="M458">
        <v>212.827211523041</v>
      </c>
      <c r="Q458">
        <v>1.5</v>
      </c>
      <c r="R458">
        <v>-8.7184974462692202E-2</v>
      </c>
      <c r="S458" t="s">
        <v>1784</v>
      </c>
      <c r="T458" t="s">
        <v>2650</v>
      </c>
      <c r="U458" t="s">
        <v>2650</v>
      </c>
      <c r="V458" t="s">
        <v>2650</v>
      </c>
      <c r="W458" t="s">
        <v>3108</v>
      </c>
      <c r="X458">
        <v>1</v>
      </c>
      <c r="Y458" t="s">
        <v>4423</v>
      </c>
      <c r="Z458" t="s">
        <v>5738</v>
      </c>
      <c r="AA458">
        <v>1.0011274675305739</v>
      </c>
      <c r="AB458" t="str">
        <f>HYPERLINK("Melting_Curves/meltCurve_P20962_PTMS.pdf", "Melting_Curves/meltCurve_P20962_PTMS.pdf")</f>
        <v>Melting_Curves/meltCurve_P20962_PTMS.pdf</v>
      </c>
    </row>
    <row r="459" spans="1:28" x14ac:dyDescent="0.25">
      <c r="A459" t="s">
        <v>463</v>
      </c>
      <c r="B459">
        <v>1</v>
      </c>
      <c r="C459">
        <v>0.68315020911604196</v>
      </c>
      <c r="D459">
        <v>1.12554051180265</v>
      </c>
      <c r="E459">
        <v>1.2385907705394501</v>
      </c>
      <c r="F459">
        <v>0.87294251081023599</v>
      </c>
      <c r="G459">
        <v>0.88740341674346102</v>
      </c>
      <c r="H459">
        <v>0.94639540653576204</v>
      </c>
      <c r="I459">
        <v>1.0242291061175299</v>
      </c>
      <c r="J459">
        <v>0.51730346636421598</v>
      </c>
      <c r="K459">
        <v>0.86097682001843101</v>
      </c>
      <c r="L459">
        <v>15000</v>
      </c>
      <c r="M459">
        <v>230.043252118163</v>
      </c>
      <c r="O459">
        <v>65.200201315007902</v>
      </c>
      <c r="P459">
        <v>-0.27416512739159399</v>
      </c>
      <c r="Q459">
        <v>0.68917807749225102</v>
      </c>
      <c r="R459">
        <v>0.314810250223791</v>
      </c>
      <c r="S459" t="s">
        <v>1785</v>
      </c>
      <c r="T459" t="s">
        <v>2650</v>
      </c>
      <c r="U459" t="s">
        <v>2650</v>
      </c>
      <c r="V459" t="s">
        <v>2650</v>
      </c>
      <c r="W459" t="s">
        <v>3109</v>
      </c>
      <c r="X459">
        <v>1</v>
      </c>
      <c r="Y459" t="s">
        <v>4424</v>
      </c>
      <c r="Z459" t="s">
        <v>5739</v>
      </c>
      <c r="AA459">
        <v>0.95036364451750321</v>
      </c>
      <c r="AB459" t="str">
        <f>HYPERLINK("Melting_Curves/meltCurve_P21246_PTN.pdf", "Melting_Curves/meltCurve_P21246_PTN.pdf")</f>
        <v>Melting_Curves/meltCurve_P21246_PTN.pdf</v>
      </c>
    </row>
    <row r="460" spans="1:28" x14ac:dyDescent="0.25">
      <c r="A460" t="s">
        <v>464</v>
      </c>
      <c r="B460">
        <v>1</v>
      </c>
      <c r="C460">
        <v>0.85482367136510695</v>
      </c>
      <c r="D460">
        <v>1.21702407722262</v>
      </c>
      <c r="E460">
        <v>1.41479734547249</v>
      </c>
      <c r="F460">
        <v>0.97871990347172699</v>
      </c>
      <c r="G460">
        <v>1.21603685624966</v>
      </c>
      <c r="H460">
        <v>1.0840783195305199</v>
      </c>
      <c r="I460">
        <v>1.3266604508309101</v>
      </c>
      <c r="J460">
        <v>0.93018153896780598</v>
      </c>
      <c r="K460">
        <v>1.3266056052213</v>
      </c>
      <c r="L460">
        <v>11135.327476976399</v>
      </c>
      <c r="M460">
        <v>250</v>
      </c>
      <c r="O460">
        <v>44.538459667698802</v>
      </c>
      <c r="P460">
        <v>0.26209962124727598</v>
      </c>
      <c r="Q460">
        <v>1.1867762138848299</v>
      </c>
      <c r="R460">
        <v>0.29352708751077999</v>
      </c>
      <c r="S460" t="s">
        <v>1786</v>
      </c>
      <c r="T460" t="s">
        <v>2650</v>
      </c>
      <c r="U460" t="s">
        <v>2650</v>
      </c>
      <c r="V460" t="s">
        <v>2650</v>
      </c>
      <c r="W460" t="s">
        <v>3110</v>
      </c>
      <c r="X460">
        <v>1</v>
      </c>
      <c r="Y460" t="s">
        <v>4425</v>
      </c>
      <c r="Z460" t="s">
        <v>5740</v>
      </c>
      <c r="AA460">
        <v>1.1584879913619981</v>
      </c>
      <c r="AB460" t="str">
        <f>HYPERLINK("Melting_Curves/meltCurve_P21266_GSTM3.pdf", "Melting_Curves/meltCurve_P21266_GSTM3.pdf")</f>
        <v>Melting_Curves/meltCurve_P21266_GSTM3.pdf</v>
      </c>
    </row>
    <row r="461" spans="1:28" x14ac:dyDescent="0.25">
      <c r="A461" t="s">
        <v>465</v>
      </c>
      <c r="B461">
        <v>1</v>
      </c>
      <c r="C461">
        <v>0.59243149195302303</v>
      </c>
      <c r="D461">
        <v>1.05019573727708</v>
      </c>
      <c r="E461">
        <v>1.2749021313614599</v>
      </c>
      <c r="F461">
        <v>0.87197332173408704</v>
      </c>
      <c r="G461">
        <v>0.872060316079455</v>
      </c>
      <c r="H461">
        <v>0.85825721328113702</v>
      </c>
      <c r="I461">
        <v>1.00020298680586</v>
      </c>
      <c r="J461">
        <v>0.58535595186312905</v>
      </c>
      <c r="K461">
        <v>0.89569377990430599</v>
      </c>
      <c r="L461">
        <v>13172.4961272321</v>
      </c>
      <c r="M461">
        <v>250</v>
      </c>
      <c r="O461">
        <v>52.686612851158003</v>
      </c>
      <c r="P461">
        <v>-0.187056908587376</v>
      </c>
      <c r="Q461">
        <v>0.84231368185695499</v>
      </c>
      <c r="R461">
        <v>0.10768723455396401</v>
      </c>
      <c r="S461" t="s">
        <v>1787</v>
      </c>
      <c r="T461" t="s">
        <v>2650</v>
      </c>
      <c r="U461" t="s">
        <v>2650</v>
      </c>
      <c r="V461" t="s">
        <v>2650</v>
      </c>
      <c r="W461" t="s">
        <v>3111</v>
      </c>
      <c r="X461">
        <v>1</v>
      </c>
      <c r="Y461" t="s">
        <v>4426</v>
      </c>
      <c r="Z461" t="s">
        <v>5741</v>
      </c>
      <c r="AA461">
        <v>0.90902949427717461</v>
      </c>
      <c r="AB461" t="str">
        <f>HYPERLINK("Melting_Curves/meltCurve_P21291_CSRP1.pdf", "Melting_Curves/meltCurve_P21291_CSRP1.pdf")</f>
        <v>Melting_Curves/meltCurve_P21291_CSRP1.pdf</v>
      </c>
    </row>
    <row r="462" spans="1:28" x14ac:dyDescent="0.25">
      <c r="A462" t="s">
        <v>466</v>
      </c>
      <c r="B462">
        <v>1</v>
      </c>
      <c r="C462">
        <v>0.83978951007317204</v>
      </c>
      <c r="D462">
        <v>1.11590389675239</v>
      </c>
      <c r="E462">
        <v>1.72703528010909</v>
      </c>
      <c r="F462">
        <v>1.22573892335171</v>
      </c>
      <c r="G462">
        <v>1.0040523151971401</v>
      </c>
      <c r="H462">
        <v>0.92886362326912397</v>
      </c>
      <c r="I462">
        <v>1.4606387677888999</v>
      </c>
      <c r="J462">
        <v>0.94589871132535697</v>
      </c>
      <c r="K462">
        <v>1.22385680539284</v>
      </c>
      <c r="L462">
        <v>11493.52236757</v>
      </c>
      <c r="M462">
        <v>250</v>
      </c>
      <c r="O462">
        <v>45.971147461533199</v>
      </c>
      <c r="P462">
        <v>0.294455737682561</v>
      </c>
      <c r="Q462">
        <v>1.21658348982042</v>
      </c>
      <c r="R462">
        <v>0.186187639630115</v>
      </c>
      <c r="S462" t="s">
        <v>1788</v>
      </c>
      <c r="T462" t="s">
        <v>2650</v>
      </c>
      <c r="U462" t="s">
        <v>2650</v>
      </c>
      <c r="V462" t="s">
        <v>2650</v>
      </c>
      <c r="W462" t="s">
        <v>3112</v>
      </c>
      <c r="X462">
        <v>3</v>
      </c>
      <c r="Y462" t="s">
        <v>4427</v>
      </c>
      <c r="Z462" t="s">
        <v>5742</v>
      </c>
      <c r="AA462">
        <v>1.173436376839863</v>
      </c>
      <c r="AB462" t="str">
        <f>HYPERLINK("Melting_Curves/meltCurve_P21333_2_FLNA.pdf", "Melting_Curves/meltCurve_P21333_2_FLNA.pdf")</f>
        <v>Melting_Curves/meltCurve_P21333_2_FLNA.pdf</v>
      </c>
    </row>
    <row r="463" spans="1:28" x14ac:dyDescent="0.25">
      <c r="A463" t="s">
        <v>467</v>
      </c>
      <c r="B463">
        <v>1</v>
      </c>
      <c r="C463">
        <v>0.81163084702907695</v>
      </c>
      <c r="D463">
        <v>1.2379611538903601</v>
      </c>
      <c r="E463">
        <v>1.5324100678082999</v>
      </c>
      <c r="F463">
        <v>1.53924836225721</v>
      </c>
      <c r="G463">
        <v>1.9386277439374799</v>
      </c>
      <c r="H463">
        <v>2.37053212274451</v>
      </c>
      <c r="I463">
        <v>2.8332950235605101</v>
      </c>
      <c r="J463">
        <v>2.1959544879898898</v>
      </c>
      <c r="K463">
        <v>2.8128950695322401</v>
      </c>
      <c r="L463">
        <v>11504.4337284261</v>
      </c>
      <c r="M463">
        <v>250</v>
      </c>
      <c r="O463">
        <v>46.014789926125701</v>
      </c>
      <c r="P463">
        <v>0.67912947075591801</v>
      </c>
      <c r="Q463">
        <v>1.5</v>
      </c>
      <c r="R463">
        <v>-6.7365259826265497E-2</v>
      </c>
      <c r="S463" t="s">
        <v>1789</v>
      </c>
      <c r="T463" t="s">
        <v>2650</v>
      </c>
      <c r="U463" t="s">
        <v>2650</v>
      </c>
      <c r="V463" t="s">
        <v>2650</v>
      </c>
      <c r="W463" t="s">
        <v>3113</v>
      </c>
      <c r="X463">
        <v>2</v>
      </c>
      <c r="Y463" t="s">
        <v>4428</v>
      </c>
      <c r="Z463" t="s">
        <v>5743</v>
      </c>
      <c r="AA463">
        <v>1.3996640379006371</v>
      </c>
      <c r="AB463" t="str">
        <f>HYPERLINK("Melting_Curves/meltCurve_P21579_SYT1.pdf", "Melting_Curves/meltCurve_P21579_SYT1.pdf")</f>
        <v>Melting_Curves/meltCurve_P21579_SYT1.pdf</v>
      </c>
    </row>
    <row r="464" spans="1:28" x14ac:dyDescent="0.25">
      <c r="A464" t="s">
        <v>468</v>
      </c>
      <c r="B464">
        <v>1</v>
      </c>
      <c r="C464">
        <v>1.0373314953435799</v>
      </c>
      <c r="D464">
        <v>1.3309343292673199</v>
      </c>
      <c r="E464">
        <v>1.53533588728421</v>
      </c>
      <c r="F464">
        <v>1.2994373827880801</v>
      </c>
      <c r="G464">
        <v>1.3636494782566899</v>
      </c>
      <c r="H464">
        <v>1.4049721897190099</v>
      </c>
      <c r="I464">
        <v>1.6848061294821</v>
      </c>
      <c r="J464">
        <v>1.31468094314521</v>
      </c>
      <c r="K464">
        <v>1.85439274207768</v>
      </c>
      <c r="L464">
        <v>2117.22380510422</v>
      </c>
      <c r="M464">
        <v>46.752924927797103</v>
      </c>
      <c r="O464">
        <v>45.202756165843098</v>
      </c>
      <c r="P464">
        <v>0.12788534762636899</v>
      </c>
      <c r="Q464">
        <v>1.49457987660859</v>
      </c>
      <c r="R464">
        <v>0.57396818876594302</v>
      </c>
      <c r="S464" t="s">
        <v>1790</v>
      </c>
      <c r="T464" t="s">
        <v>2650</v>
      </c>
      <c r="U464" t="s">
        <v>2650</v>
      </c>
      <c r="V464" t="s">
        <v>2650</v>
      </c>
      <c r="W464" t="s">
        <v>3114</v>
      </c>
      <c r="X464">
        <v>1</v>
      </c>
      <c r="Y464" t="s">
        <v>4429</v>
      </c>
      <c r="Z464" t="s">
        <v>5744</v>
      </c>
      <c r="AA464">
        <v>1.4062894169653499</v>
      </c>
      <c r="AB464" t="str">
        <f>HYPERLINK("Melting_Curves/meltCurve_P21589_2_NT5E.pdf", "Melting_Curves/meltCurve_P21589_2_NT5E.pdf")</f>
        <v>Melting_Curves/meltCurve_P21589_2_NT5E.pdf</v>
      </c>
    </row>
    <row r="465" spans="1:28" x14ac:dyDescent="0.25">
      <c r="A465" t="s">
        <v>469</v>
      </c>
      <c r="B465">
        <v>1</v>
      </c>
      <c r="C465">
        <v>0.79601373949200005</v>
      </c>
      <c r="D465">
        <v>0.97469040947301799</v>
      </c>
      <c r="E465">
        <v>1.27442827442827</v>
      </c>
      <c r="F465">
        <v>1.11931664105577</v>
      </c>
      <c r="G465">
        <v>1.09527253005514</v>
      </c>
      <c r="H465">
        <v>0.99186477447346999</v>
      </c>
      <c r="I465">
        <v>1.32278767061376</v>
      </c>
      <c r="J465">
        <v>0.77714001627045104</v>
      </c>
      <c r="K465">
        <v>1.09689957516044</v>
      </c>
      <c r="L465">
        <v>11934.394012286501</v>
      </c>
      <c r="M465">
        <v>250</v>
      </c>
      <c r="O465">
        <v>47.734521170598498</v>
      </c>
      <c r="P465">
        <v>0.12676257435466901</v>
      </c>
      <c r="Q465">
        <v>1.0968152124936399</v>
      </c>
      <c r="R465">
        <v>0.16018126749342301</v>
      </c>
      <c r="S465" t="s">
        <v>1791</v>
      </c>
      <c r="T465" t="s">
        <v>2650</v>
      </c>
      <c r="U465" t="s">
        <v>2650</v>
      </c>
      <c r="V465" t="s">
        <v>2650</v>
      </c>
      <c r="W465" t="s">
        <v>3115</v>
      </c>
      <c r="X465">
        <v>3</v>
      </c>
      <c r="Y465" t="s">
        <v>4430</v>
      </c>
      <c r="Z465" t="s">
        <v>5745</v>
      </c>
      <c r="AA465">
        <v>1.0718365991279151</v>
      </c>
      <c r="AB465" t="str">
        <f>HYPERLINK("Melting_Curves/meltCurve_P21695_2_GPD1.pdf", "Melting_Curves/meltCurve_P21695_2_GPD1.pdf")</f>
        <v>Melting_Curves/meltCurve_P21695_2_GPD1.pdf</v>
      </c>
    </row>
    <row r="466" spans="1:28" x14ac:dyDescent="0.25">
      <c r="A466" t="s">
        <v>470</v>
      </c>
      <c r="B466">
        <v>1</v>
      </c>
      <c r="C466">
        <v>0.70627700705026197</v>
      </c>
      <c r="D466">
        <v>1.1808050943825299</v>
      </c>
      <c r="E466">
        <v>1.3456144340838401</v>
      </c>
      <c r="F466">
        <v>0.93738154802516904</v>
      </c>
      <c r="G466">
        <v>0.91683723751042401</v>
      </c>
      <c r="H466">
        <v>0.92123417481616299</v>
      </c>
      <c r="I466">
        <v>1.0223637328481501</v>
      </c>
      <c r="J466">
        <v>0.58631642786748495</v>
      </c>
      <c r="K466">
        <v>0.91304677431582104</v>
      </c>
      <c r="L466">
        <v>15000</v>
      </c>
      <c r="M466">
        <v>230.06594001039201</v>
      </c>
      <c r="O466">
        <v>65.193772612206701</v>
      </c>
      <c r="P466">
        <v>-0.22076856584023499</v>
      </c>
      <c r="Q466">
        <v>0.74976329565687905</v>
      </c>
      <c r="R466">
        <v>0.24939927101311399</v>
      </c>
      <c r="S466" t="s">
        <v>1792</v>
      </c>
      <c r="T466" t="s">
        <v>2650</v>
      </c>
      <c r="U466" t="s">
        <v>2650</v>
      </c>
      <c r="V466" t="s">
        <v>2650</v>
      </c>
      <c r="W466" t="s">
        <v>3116</v>
      </c>
      <c r="X466">
        <v>2</v>
      </c>
      <c r="Y466" t="s">
        <v>4431</v>
      </c>
      <c r="Z466" t="s">
        <v>5746</v>
      </c>
      <c r="AA466">
        <v>0.95998508680948236</v>
      </c>
      <c r="AB466" t="str">
        <f>HYPERLINK("Melting_Curves/meltCurve_P21741_MDK.pdf", "Melting_Curves/meltCurve_P21741_MDK.pdf")</f>
        <v>Melting_Curves/meltCurve_P21741_MDK.pdf</v>
      </c>
    </row>
    <row r="467" spans="1:28" x14ac:dyDescent="0.25">
      <c r="A467" t="s">
        <v>471</v>
      </c>
      <c r="B467">
        <v>1</v>
      </c>
      <c r="C467">
        <v>0.76452048626744695</v>
      </c>
      <c r="D467">
        <v>1.07544863960893</v>
      </c>
      <c r="E467">
        <v>1.4801569434617601</v>
      </c>
      <c r="F467">
        <v>1.0493342767093301</v>
      </c>
      <c r="G467">
        <v>0.99903518363671495</v>
      </c>
      <c r="H467">
        <v>1.0634205956133</v>
      </c>
      <c r="I467">
        <v>1.2616581977230299</v>
      </c>
      <c r="J467">
        <v>0.63947385347655505</v>
      </c>
      <c r="K467">
        <v>0.96166462983212198</v>
      </c>
      <c r="L467">
        <v>1370.9592988583599</v>
      </c>
      <c r="M467">
        <v>19.371868991506801</v>
      </c>
      <c r="Q467">
        <v>0.76310926675331603</v>
      </c>
      <c r="R467">
        <v>2.30132869351353E-2</v>
      </c>
      <c r="S467" t="s">
        <v>1793</v>
      </c>
      <c r="T467" t="s">
        <v>2650</v>
      </c>
      <c r="U467" t="s">
        <v>2650</v>
      </c>
      <c r="V467" t="s">
        <v>2650</v>
      </c>
      <c r="W467" t="s">
        <v>3117</v>
      </c>
      <c r="X467">
        <v>3</v>
      </c>
      <c r="Y467" t="s">
        <v>4432</v>
      </c>
      <c r="Z467" t="s">
        <v>5747</v>
      </c>
      <c r="AA467">
        <v>0.98499125834829304</v>
      </c>
      <c r="AB467" t="str">
        <f>HYPERLINK("Melting_Curves/meltCurve_P21964_2_COMT.pdf", "Melting_Curves/meltCurve_P21964_2_COMT.pdf")</f>
        <v>Melting_Curves/meltCurve_P21964_2_COMT.pdf</v>
      </c>
    </row>
    <row r="468" spans="1:28" x14ac:dyDescent="0.25">
      <c r="A468" t="s">
        <v>472</v>
      </c>
      <c r="B468">
        <v>1</v>
      </c>
      <c r="C468">
        <v>0.77388678721410498</v>
      </c>
      <c r="D468">
        <v>1.1689168083851</v>
      </c>
      <c r="E468">
        <v>1.37729497102003</v>
      </c>
      <c r="F468">
        <v>0.95321556241974104</v>
      </c>
      <c r="G468">
        <v>0.976954846770555</v>
      </c>
      <c r="H468">
        <v>0.99278103633776404</v>
      </c>
      <c r="I468">
        <v>1.1119286433207201</v>
      </c>
      <c r="J468">
        <v>0.63735119564085696</v>
      </c>
      <c r="K468">
        <v>0.96737583729566501</v>
      </c>
      <c r="L468">
        <v>2352.6636093194202</v>
      </c>
      <c r="M468">
        <v>36.080452320907803</v>
      </c>
      <c r="O468">
        <v>65.006728683198304</v>
      </c>
      <c r="P468">
        <v>-2.3767490272941401E-2</v>
      </c>
      <c r="Q468">
        <v>0.82871151671482701</v>
      </c>
      <c r="R468">
        <v>0.118035699080074</v>
      </c>
      <c r="S468" t="s">
        <v>1794</v>
      </c>
      <c r="T468" t="s">
        <v>2650</v>
      </c>
      <c r="U468" t="s">
        <v>2650</v>
      </c>
      <c r="V468" t="s">
        <v>2650</v>
      </c>
      <c r="W468" t="s">
        <v>3118</v>
      </c>
      <c r="X468">
        <v>2</v>
      </c>
      <c r="Y468" t="s">
        <v>4433</v>
      </c>
      <c r="Z468" t="s">
        <v>5748</v>
      </c>
      <c r="AA468">
        <v>0.97255018517962932</v>
      </c>
      <c r="AB468" t="str">
        <f>HYPERLINK("Melting_Curves/meltCurve_P22059_OSBP.pdf", "Melting_Curves/meltCurve_P22059_OSBP.pdf")</f>
        <v>Melting_Curves/meltCurve_P22059_OSBP.pdf</v>
      </c>
    </row>
    <row r="469" spans="1:28" x14ac:dyDescent="0.25">
      <c r="A469" t="s">
        <v>473</v>
      </c>
      <c r="B469">
        <v>1</v>
      </c>
      <c r="C469">
        <v>0.80431763165204995</v>
      </c>
      <c r="D469">
        <v>1.41398468193182</v>
      </c>
      <c r="E469">
        <v>1.84134291043295</v>
      </c>
      <c r="F469">
        <v>1.21274653756101</v>
      </c>
      <c r="G469">
        <v>1.53208460653201</v>
      </c>
      <c r="H469">
        <v>1.6506210563911301</v>
      </c>
      <c r="I469">
        <v>2.02936624469225</v>
      </c>
      <c r="J469">
        <v>1.4481527044724001</v>
      </c>
      <c r="K469">
        <v>1.7834041033374299</v>
      </c>
      <c r="L469">
        <v>11427.7201080215</v>
      </c>
      <c r="M469">
        <v>250</v>
      </c>
      <c r="O469">
        <v>45.707955285172098</v>
      </c>
      <c r="P469">
        <v>0.68368842739243196</v>
      </c>
      <c r="Q469">
        <v>1.5</v>
      </c>
      <c r="R469">
        <v>0.52681166437028104</v>
      </c>
      <c r="S469" t="s">
        <v>1795</v>
      </c>
      <c r="T469" t="s">
        <v>2650</v>
      </c>
      <c r="U469" t="s">
        <v>2650</v>
      </c>
      <c r="V469" t="s">
        <v>2650</v>
      </c>
      <c r="W469" t="s">
        <v>3119</v>
      </c>
      <c r="X469">
        <v>2</v>
      </c>
      <c r="Y469" t="s">
        <v>4434</v>
      </c>
      <c r="Z469" t="s">
        <v>5749</v>
      </c>
      <c r="AA469">
        <v>1.404778548523363</v>
      </c>
      <c r="AB469" t="str">
        <f>HYPERLINK("Melting_Curves/meltCurve_P22061_PCMT1.pdf", "Melting_Curves/meltCurve_P22061_PCMT1.pdf")</f>
        <v>Melting_Curves/meltCurve_P22061_PCMT1.pdf</v>
      </c>
    </row>
    <row r="470" spans="1:28" x14ac:dyDescent="0.25">
      <c r="A470" t="s">
        <v>474</v>
      </c>
      <c r="B470">
        <v>1</v>
      </c>
      <c r="C470">
        <v>0.77452995968621896</v>
      </c>
      <c r="D470">
        <v>1.2590304018744201</v>
      </c>
      <c r="E470">
        <v>1.56798787140937</v>
      </c>
      <c r="F470">
        <v>1.51894518014862</v>
      </c>
      <c r="G470">
        <v>1.2973916638910299</v>
      </c>
      <c r="H470">
        <v>1.18161875337384</v>
      </c>
      <c r="I470">
        <v>1.4035168318651201</v>
      </c>
      <c r="J470">
        <v>1.0788243536586799</v>
      </c>
      <c r="K470">
        <v>1.2207839939356999</v>
      </c>
      <c r="L470">
        <v>11436.4888556528</v>
      </c>
      <c r="M470">
        <v>250</v>
      </c>
      <c r="O470">
        <v>45.743028002675501</v>
      </c>
      <c r="P470">
        <v>0.44289901545770799</v>
      </c>
      <c r="Q470">
        <v>1.32415267255705</v>
      </c>
      <c r="R470">
        <v>0.52502947766832697</v>
      </c>
      <c r="S470" t="s">
        <v>1796</v>
      </c>
      <c r="T470" t="s">
        <v>2650</v>
      </c>
      <c r="U470" t="s">
        <v>2650</v>
      </c>
      <c r="V470" t="s">
        <v>2650</v>
      </c>
      <c r="W470" t="s">
        <v>3120</v>
      </c>
      <c r="X470">
        <v>1</v>
      </c>
      <c r="Y470" t="s">
        <v>4435</v>
      </c>
      <c r="Z470" t="s">
        <v>5750</v>
      </c>
      <c r="AA470">
        <v>1.2620410882443709</v>
      </c>
      <c r="AB470" t="str">
        <f>HYPERLINK("Melting_Curves/meltCurve_P22079_2_LPO.pdf", "Melting_Curves/meltCurve_P22079_2_LPO.pdf")</f>
        <v>Melting_Curves/meltCurve_P22079_2_LPO.pdf</v>
      </c>
    </row>
    <row r="471" spans="1:28" x14ac:dyDescent="0.25">
      <c r="A471" t="s">
        <v>475</v>
      </c>
      <c r="B471">
        <v>1</v>
      </c>
      <c r="C471">
        <v>0.83511442422978699</v>
      </c>
      <c r="D471">
        <v>1.48621174998697</v>
      </c>
      <c r="E471">
        <v>1.9185216076734599</v>
      </c>
      <c r="F471">
        <v>1.4158369389563701</v>
      </c>
      <c r="G471">
        <v>1.55377156857634</v>
      </c>
      <c r="H471">
        <v>1.49973935255174</v>
      </c>
      <c r="I471">
        <v>1.7204295469947299</v>
      </c>
      <c r="J471">
        <v>1.0027628629515699</v>
      </c>
      <c r="K471">
        <v>1.50547359641349</v>
      </c>
      <c r="L471">
        <v>11336.1246391723</v>
      </c>
      <c r="M471">
        <v>250</v>
      </c>
      <c r="O471">
        <v>45.341596999250299</v>
      </c>
      <c r="P471">
        <v>0.68921260466157797</v>
      </c>
      <c r="Q471">
        <v>1.5</v>
      </c>
      <c r="R471">
        <v>0.52078145372177898</v>
      </c>
      <c r="S471" t="s">
        <v>1797</v>
      </c>
      <c r="T471" t="s">
        <v>2650</v>
      </c>
      <c r="U471" t="s">
        <v>2650</v>
      </c>
      <c r="V471" t="s">
        <v>2650</v>
      </c>
      <c r="W471" t="s">
        <v>3121</v>
      </c>
      <c r="X471">
        <v>6</v>
      </c>
      <c r="Y471" t="s">
        <v>4436</v>
      </c>
      <c r="Z471" t="s">
        <v>5751</v>
      </c>
      <c r="AA471">
        <v>1.4108852346105589</v>
      </c>
      <c r="AB471" t="str">
        <f>HYPERLINK("Melting_Curves/meltCurve_P22304_IDS.pdf", "Melting_Curves/meltCurve_P22304_IDS.pdf")</f>
        <v>Melting_Curves/meltCurve_P22304_IDS.pdf</v>
      </c>
    </row>
    <row r="472" spans="1:28" x14ac:dyDescent="0.25">
      <c r="A472" t="s">
        <v>476</v>
      </c>
      <c r="B472">
        <v>1</v>
      </c>
      <c r="C472">
        <v>0.83796640739488204</v>
      </c>
      <c r="D472">
        <v>0.90355089617855899</v>
      </c>
      <c r="E472">
        <v>1.17244955472889</v>
      </c>
      <c r="F472">
        <v>1.0221621012287201</v>
      </c>
      <c r="G472">
        <v>1.251764175403</v>
      </c>
      <c r="H472">
        <v>1.0992447300191599</v>
      </c>
      <c r="I472">
        <v>1.65291398940367</v>
      </c>
      <c r="J472">
        <v>1.6947131101341499</v>
      </c>
      <c r="K472">
        <v>2.4400856724157398</v>
      </c>
      <c r="L472">
        <v>15000</v>
      </c>
      <c r="M472">
        <v>244.506358200199</v>
      </c>
      <c r="O472">
        <v>61.343981362760999</v>
      </c>
      <c r="P472">
        <v>0.49822799229321302</v>
      </c>
      <c r="Q472">
        <v>1.5</v>
      </c>
      <c r="R472">
        <v>0.50639841054639501</v>
      </c>
      <c r="S472" t="s">
        <v>1798</v>
      </c>
      <c r="T472" t="s">
        <v>2650</v>
      </c>
      <c r="U472" t="s">
        <v>2650</v>
      </c>
      <c r="V472" t="s">
        <v>2650</v>
      </c>
      <c r="W472" t="s">
        <v>3122</v>
      </c>
      <c r="X472">
        <v>5</v>
      </c>
      <c r="Y472" t="s">
        <v>4437</v>
      </c>
      <c r="Z472" t="s">
        <v>5752</v>
      </c>
      <c r="AA472">
        <v>1.144142089067266</v>
      </c>
      <c r="AB472" t="str">
        <f>HYPERLINK("Melting_Curves/meltCurve_P22314_2_UBA1.pdf", "Melting_Curves/meltCurve_P22314_2_UBA1.pdf")</f>
        <v>Melting_Curves/meltCurve_P22314_2_UBA1.pdf</v>
      </c>
    </row>
    <row r="473" spans="1:28" x14ac:dyDescent="0.25">
      <c r="A473" t="s">
        <v>477</v>
      </c>
      <c r="B473">
        <v>1</v>
      </c>
      <c r="C473">
        <v>0.97875079792701303</v>
      </c>
      <c r="D473">
        <v>1.1353825180953601</v>
      </c>
      <c r="E473">
        <v>1.29107295487249</v>
      </c>
      <c r="F473">
        <v>1.21046880240622</v>
      </c>
      <c r="G473">
        <v>1.34235667066983</v>
      </c>
      <c r="H473">
        <v>1.2348123383859699</v>
      </c>
      <c r="I473">
        <v>1.4496846159672001</v>
      </c>
      <c r="J473">
        <v>1.3238555833252199</v>
      </c>
      <c r="K473">
        <v>1.4299934001969099</v>
      </c>
      <c r="L473">
        <v>677.46850709850605</v>
      </c>
      <c r="M473">
        <v>13.8706684117428</v>
      </c>
      <c r="O473">
        <v>47.860216079294297</v>
      </c>
      <c r="P473">
        <v>2.70558113550915E-2</v>
      </c>
      <c r="Q473">
        <v>1.37336884875215</v>
      </c>
      <c r="R473">
        <v>0.81803147784885</v>
      </c>
      <c r="S473" t="s">
        <v>1799</v>
      </c>
      <c r="T473" t="s">
        <v>2650</v>
      </c>
      <c r="U473" t="s">
        <v>2650</v>
      </c>
      <c r="V473" t="s">
        <v>2650</v>
      </c>
      <c r="W473" t="s">
        <v>3123</v>
      </c>
      <c r="X473">
        <v>3</v>
      </c>
      <c r="Y473" t="s">
        <v>4438</v>
      </c>
      <c r="Z473" t="s">
        <v>5753</v>
      </c>
      <c r="AA473">
        <v>1.2525991703089581</v>
      </c>
      <c r="AB473" t="str">
        <f>HYPERLINK("Melting_Curves/meltCurve_P22352_GPX3.pdf", "Melting_Curves/meltCurve_P22352_GPX3.pdf")</f>
        <v>Melting_Curves/meltCurve_P22352_GPX3.pdf</v>
      </c>
    </row>
    <row r="474" spans="1:28" x14ac:dyDescent="0.25">
      <c r="A474" t="s">
        <v>478</v>
      </c>
      <c r="B474">
        <v>1</v>
      </c>
      <c r="C474">
        <v>1.02340425531915</v>
      </c>
      <c r="D474">
        <v>1.7494367959949899</v>
      </c>
      <c r="E474">
        <v>2.6731539424280299</v>
      </c>
      <c r="F474">
        <v>2.3342302878598198</v>
      </c>
      <c r="G474">
        <v>2.5589486858573198</v>
      </c>
      <c r="H474">
        <v>2.1433667083854799</v>
      </c>
      <c r="I474">
        <v>2.7446808510638299</v>
      </c>
      <c r="J474">
        <v>1.9384230287859801</v>
      </c>
      <c r="K474">
        <v>2.57578222778473</v>
      </c>
      <c r="L474">
        <v>10854.281923612099</v>
      </c>
      <c r="M474">
        <v>250</v>
      </c>
      <c r="O474">
        <v>43.414349307860398</v>
      </c>
      <c r="P474">
        <v>0.71980809456754402</v>
      </c>
      <c r="Q474">
        <v>1.5</v>
      </c>
      <c r="R474">
        <v>-0.75195368258309303</v>
      </c>
      <c r="S474" t="s">
        <v>1800</v>
      </c>
      <c r="T474" t="s">
        <v>2650</v>
      </c>
      <c r="U474" t="s">
        <v>2650</v>
      </c>
      <c r="V474" t="s">
        <v>2650</v>
      </c>
      <c r="W474" t="s">
        <v>3124</v>
      </c>
      <c r="X474">
        <v>6</v>
      </c>
      <c r="Y474" t="s">
        <v>4439</v>
      </c>
      <c r="Z474" t="s">
        <v>5754</v>
      </c>
      <c r="AA474">
        <v>1.4430097735662211</v>
      </c>
      <c r="AB474" t="str">
        <f>HYPERLINK("Melting_Curves/meltCurve_P22392_NME2.pdf", "Melting_Curves/meltCurve_P22392_NME2.pdf")</f>
        <v>Melting_Curves/meltCurve_P22392_NME2.pdf</v>
      </c>
    </row>
    <row r="475" spans="1:28" x14ac:dyDescent="0.25">
      <c r="A475" t="s">
        <v>479</v>
      </c>
      <c r="B475">
        <v>1</v>
      </c>
      <c r="C475">
        <v>0.67127715195589099</v>
      </c>
      <c r="D475">
        <v>1.13094728836922</v>
      </c>
      <c r="E475">
        <v>1.2551610501132799</v>
      </c>
      <c r="F475">
        <v>0.82416781532709105</v>
      </c>
      <c r="G475">
        <v>0.89592344376317001</v>
      </c>
      <c r="H475">
        <v>0.90436807833071897</v>
      </c>
      <c r="I475">
        <v>0.98035394584660196</v>
      </c>
      <c r="J475">
        <v>0.54490866169177898</v>
      </c>
      <c r="K475">
        <v>0.84378218229637003</v>
      </c>
      <c r="L475">
        <v>933.41520573415301</v>
      </c>
      <c r="M475">
        <v>14.7607108148284</v>
      </c>
      <c r="O475">
        <v>62.109841569843503</v>
      </c>
      <c r="P475">
        <v>-1.8987444192723201E-2</v>
      </c>
      <c r="Q475">
        <v>0.68045437464411695</v>
      </c>
      <c r="R475">
        <v>0.19053033818096299</v>
      </c>
      <c r="S475" t="s">
        <v>1801</v>
      </c>
      <c r="T475" t="s">
        <v>2650</v>
      </c>
      <c r="U475" t="s">
        <v>2650</v>
      </c>
      <c r="V475" t="s">
        <v>2650</v>
      </c>
      <c r="W475" t="s">
        <v>3125</v>
      </c>
      <c r="X475">
        <v>7</v>
      </c>
      <c r="Y475" t="s">
        <v>4440</v>
      </c>
      <c r="Z475" t="s">
        <v>5755</v>
      </c>
      <c r="AA475">
        <v>0.92428711420316256</v>
      </c>
      <c r="AB475" t="str">
        <f>HYPERLINK("Melting_Curves/meltCurve_P22692_IGFBP4.pdf", "Melting_Curves/meltCurve_P22692_IGFBP4.pdf")</f>
        <v>Melting_Curves/meltCurve_P22692_IGFBP4.pdf</v>
      </c>
    </row>
    <row r="476" spans="1:28" x14ac:dyDescent="0.25">
      <c r="A476" t="s">
        <v>480</v>
      </c>
      <c r="B476">
        <v>1</v>
      </c>
      <c r="C476">
        <v>0.72108783275014399</v>
      </c>
      <c r="D476">
        <v>1.0557647163042001</v>
      </c>
      <c r="E476">
        <v>1.4831908579527799</v>
      </c>
      <c r="F476">
        <v>1.05877663108473</v>
      </c>
      <c r="G476">
        <v>1.4089560171856299</v>
      </c>
      <c r="H476">
        <v>1.16649687735306</v>
      </c>
      <c r="I476">
        <v>1.4637462904726</v>
      </c>
      <c r="J476">
        <v>0.99105284138725203</v>
      </c>
      <c r="K476">
        <v>1.29662931301767</v>
      </c>
      <c r="L476">
        <v>11561.259548244099</v>
      </c>
      <c r="M476">
        <v>250</v>
      </c>
      <c r="O476">
        <v>46.242078857392499</v>
      </c>
      <c r="P476">
        <v>0.360843428843861</v>
      </c>
      <c r="Q476">
        <v>1.26697840412373</v>
      </c>
      <c r="R476">
        <v>0.42418257440148799</v>
      </c>
      <c r="S476" t="s">
        <v>1802</v>
      </c>
      <c r="T476" t="s">
        <v>2650</v>
      </c>
      <c r="U476" t="s">
        <v>2650</v>
      </c>
      <c r="V476" t="s">
        <v>2650</v>
      </c>
      <c r="W476" t="s">
        <v>3126</v>
      </c>
      <c r="X476">
        <v>2</v>
      </c>
      <c r="Y476" t="s">
        <v>4441</v>
      </c>
      <c r="Z476" t="s">
        <v>5756</v>
      </c>
      <c r="AA476">
        <v>1.2113803919889641</v>
      </c>
      <c r="AB476" t="str">
        <f>HYPERLINK("Melting_Curves/meltCurve_P22748_CA4.pdf", "Melting_Curves/meltCurve_P22748_CA4.pdf")</f>
        <v>Melting_Curves/meltCurve_P22748_CA4.pdf</v>
      </c>
    </row>
    <row r="477" spans="1:28" x14ac:dyDescent="0.25">
      <c r="A477" t="s">
        <v>481</v>
      </c>
      <c r="B477">
        <v>1</v>
      </c>
      <c r="C477">
        <v>0.83732730162611602</v>
      </c>
      <c r="D477">
        <v>1.0511064922362101</v>
      </c>
      <c r="E477">
        <v>1.23101846191466</v>
      </c>
      <c r="F477">
        <v>1.0519012104169201</v>
      </c>
      <c r="G477">
        <v>1.1663406284386799</v>
      </c>
      <c r="H477">
        <v>1.04511553979704</v>
      </c>
      <c r="I477">
        <v>1.44027387211151</v>
      </c>
      <c r="J477">
        <v>0.78774911358356803</v>
      </c>
      <c r="K477">
        <v>1.17367648856828</v>
      </c>
      <c r="L477">
        <v>11518.7978999157</v>
      </c>
      <c r="M477">
        <v>250</v>
      </c>
      <c r="O477">
        <v>46.072246890141898</v>
      </c>
      <c r="P477">
        <v>0.17365493659756201</v>
      </c>
      <c r="Q477">
        <v>1.1280107591150601</v>
      </c>
      <c r="R477">
        <v>0.17302124144599801</v>
      </c>
      <c r="S477" t="s">
        <v>1803</v>
      </c>
      <c r="T477" t="s">
        <v>2650</v>
      </c>
      <c r="U477" t="s">
        <v>2650</v>
      </c>
      <c r="V477" t="s">
        <v>2650</v>
      </c>
      <c r="W477" t="s">
        <v>3127</v>
      </c>
      <c r="X477">
        <v>1</v>
      </c>
      <c r="Y477" t="s">
        <v>4442</v>
      </c>
      <c r="Z477" t="s">
        <v>5757</v>
      </c>
      <c r="AA477">
        <v>1.102077411724423</v>
      </c>
      <c r="AB477" t="str">
        <f>HYPERLINK("Melting_Curves/meltCurve_P22894_MMP8.pdf", "Melting_Curves/meltCurve_P22894_MMP8.pdf")</f>
        <v>Melting_Curves/meltCurve_P22894_MMP8.pdf</v>
      </c>
    </row>
    <row r="478" spans="1:28" x14ac:dyDescent="0.25">
      <c r="A478" t="s">
        <v>482</v>
      </c>
      <c r="B478">
        <v>1</v>
      </c>
      <c r="C478">
        <v>0.80963267794543503</v>
      </c>
      <c r="D478">
        <v>1.04393385154702</v>
      </c>
      <c r="E478">
        <v>1.2011507392165801</v>
      </c>
      <c r="F478">
        <v>1.2048087181831999</v>
      </c>
      <c r="G478">
        <v>1.59415485444292</v>
      </c>
      <c r="H478">
        <v>1.38488797439415</v>
      </c>
      <c r="I478">
        <v>1.50301021185795</v>
      </c>
      <c r="J478">
        <v>1.5126886145404701</v>
      </c>
      <c r="K478">
        <v>1.5365797896662099</v>
      </c>
      <c r="L478">
        <v>1274.0436121581399</v>
      </c>
      <c r="M478">
        <v>24.497134236028199</v>
      </c>
      <c r="O478">
        <v>51.665010004717701</v>
      </c>
      <c r="P478">
        <v>5.9270024503676702E-2</v>
      </c>
      <c r="Q478">
        <v>1.5</v>
      </c>
      <c r="R478">
        <v>0.86703309963390995</v>
      </c>
      <c r="S478" t="s">
        <v>1804</v>
      </c>
      <c r="T478" t="s">
        <v>2650</v>
      </c>
      <c r="U478" t="s">
        <v>2650</v>
      </c>
      <c r="V478" t="s">
        <v>2650</v>
      </c>
      <c r="W478" t="s">
        <v>3128</v>
      </c>
      <c r="X478">
        <v>6</v>
      </c>
      <c r="Y478" t="s">
        <v>4443</v>
      </c>
      <c r="Z478" t="s">
        <v>5758</v>
      </c>
      <c r="AA478">
        <v>1.2951224870362541</v>
      </c>
      <c r="AB478" t="str">
        <f>HYPERLINK("Melting_Curves/meltCurve_P22897_MRC1.pdf", "Melting_Curves/meltCurve_P22897_MRC1.pdf")</f>
        <v>Melting_Curves/meltCurve_P22897_MRC1.pdf</v>
      </c>
    </row>
    <row r="479" spans="1:28" x14ac:dyDescent="0.25">
      <c r="A479" t="s">
        <v>483</v>
      </c>
      <c r="B479">
        <v>1</v>
      </c>
      <c r="C479">
        <v>0.90396909027046002</v>
      </c>
      <c r="D479">
        <v>1.53586231120478</v>
      </c>
      <c r="E479">
        <v>2.16255707762557</v>
      </c>
      <c r="F479">
        <v>1.70741131015104</v>
      </c>
      <c r="G479">
        <v>2.0636459430979999</v>
      </c>
      <c r="H479">
        <v>1.6993326308394801</v>
      </c>
      <c r="I479">
        <v>1.95054443273621</v>
      </c>
      <c r="J479">
        <v>1.4027397260273999</v>
      </c>
      <c r="K479">
        <v>1.80709518791711</v>
      </c>
      <c r="L479">
        <v>11122.3155007767</v>
      </c>
      <c r="M479">
        <v>250</v>
      </c>
      <c r="O479">
        <v>44.486414994450897</v>
      </c>
      <c r="P479">
        <v>0.70246164018531498</v>
      </c>
      <c r="Q479">
        <v>1.5</v>
      </c>
      <c r="R479">
        <v>0.27735072847610298</v>
      </c>
      <c r="S479" t="s">
        <v>1805</v>
      </c>
      <c r="T479" t="s">
        <v>2650</v>
      </c>
      <c r="U479" t="s">
        <v>2650</v>
      </c>
      <c r="V479" t="s">
        <v>2650</v>
      </c>
      <c r="W479" t="s">
        <v>3129</v>
      </c>
      <c r="X479">
        <v>8</v>
      </c>
      <c r="Y479" t="s">
        <v>4444</v>
      </c>
      <c r="Z479" t="s">
        <v>5759</v>
      </c>
      <c r="AA479">
        <v>1.42513992763368</v>
      </c>
      <c r="AB479" t="str">
        <f>HYPERLINK("Melting_Curves/meltCurve_P23142_FBLN1.pdf", "Melting_Curves/meltCurve_P23142_FBLN1.pdf")</f>
        <v>Melting_Curves/meltCurve_P23142_FBLN1.pdf</v>
      </c>
    </row>
    <row r="480" spans="1:28" x14ac:dyDescent="0.25">
      <c r="A480" t="s">
        <v>484</v>
      </c>
      <c r="B480">
        <v>1</v>
      </c>
      <c r="C480">
        <v>0.85556627435847998</v>
      </c>
      <c r="D480">
        <v>0.98051321628400501</v>
      </c>
      <c r="E480">
        <v>1.0952151263746901</v>
      </c>
      <c r="F480">
        <v>1.1377580551804001</v>
      </c>
      <c r="G480">
        <v>1.33513409222458</v>
      </c>
      <c r="H480">
        <v>1.2064441443179601</v>
      </c>
      <c r="I480">
        <v>1.28718888674513</v>
      </c>
      <c r="J480">
        <v>1.29027590198727</v>
      </c>
      <c r="K480">
        <v>1.2429095118657101</v>
      </c>
      <c r="L480">
        <v>1624.5347565940699</v>
      </c>
      <c r="M480">
        <v>31.284184420886302</v>
      </c>
      <c r="O480">
        <v>51.717526051296602</v>
      </c>
      <c r="P480">
        <v>4.1082954460618798E-2</v>
      </c>
      <c r="Q480">
        <v>1.2716639564015499</v>
      </c>
      <c r="R480">
        <v>0.84080285484997896</v>
      </c>
      <c r="S480" t="s">
        <v>1806</v>
      </c>
      <c r="T480" t="s">
        <v>2650</v>
      </c>
      <c r="U480" t="s">
        <v>2650</v>
      </c>
      <c r="V480" t="s">
        <v>2650</v>
      </c>
      <c r="W480" t="s">
        <v>3130</v>
      </c>
      <c r="X480">
        <v>3</v>
      </c>
      <c r="Y480" t="s">
        <v>4445</v>
      </c>
      <c r="Z480" t="s">
        <v>5760</v>
      </c>
      <c r="AA480">
        <v>1.1620524051249681</v>
      </c>
      <c r="AB480" t="str">
        <f>HYPERLINK("Melting_Curves/meltCurve_P23280_3_CA6.pdf", "Melting_Curves/meltCurve_P23280_3_CA6.pdf")</f>
        <v>Melting_Curves/meltCurve_P23280_3_CA6.pdf</v>
      </c>
    </row>
    <row r="481" spans="1:28" x14ac:dyDescent="0.25">
      <c r="A481" t="s">
        <v>485</v>
      </c>
      <c r="B481">
        <v>1</v>
      </c>
      <c r="C481">
        <v>0.73892828767324803</v>
      </c>
      <c r="D481">
        <v>1.2176235176411701</v>
      </c>
      <c r="E481">
        <v>1.84268604890681</v>
      </c>
      <c r="F481">
        <v>2.6373480858076102</v>
      </c>
      <c r="G481">
        <v>3.64461642585999</v>
      </c>
      <c r="H481">
        <v>3.7246564458699898</v>
      </c>
      <c r="I481">
        <v>4.5874407792131402</v>
      </c>
      <c r="J481">
        <v>3.30680045905306</v>
      </c>
      <c r="K481">
        <v>4.3690963128623101</v>
      </c>
      <c r="L481">
        <v>11511.981836736601</v>
      </c>
      <c r="M481">
        <v>250</v>
      </c>
      <c r="O481">
        <v>46.044980411288002</v>
      </c>
      <c r="P481">
        <v>0.67868418315251899</v>
      </c>
      <c r="Q481">
        <v>1.5</v>
      </c>
      <c r="R481">
        <v>-0.74879586320254699</v>
      </c>
      <c r="S481" t="s">
        <v>1807</v>
      </c>
      <c r="T481" t="s">
        <v>2650</v>
      </c>
      <c r="U481" t="s">
        <v>2650</v>
      </c>
      <c r="V481" t="s">
        <v>2650</v>
      </c>
      <c r="W481" t="s">
        <v>3131</v>
      </c>
      <c r="X481">
        <v>18</v>
      </c>
      <c r="Y481" t="s">
        <v>4446</v>
      </c>
      <c r="Z481" t="s">
        <v>5761</v>
      </c>
      <c r="AA481">
        <v>1.3991608041863119</v>
      </c>
      <c r="AB481" t="str">
        <f>HYPERLINK("Melting_Curves/meltCurve_P23284_PPIB.pdf", "Melting_Curves/meltCurve_P23284_PPIB.pdf")</f>
        <v>Melting_Curves/meltCurve_P23284_PPIB.pdf</v>
      </c>
    </row>
    <row r="482" spans="1:28" x14ac:dyDescent="0.25">
      <c r="A482" t="s">
        <v>486</v>
      </c>
      <c r="B482">
        <v>1</v>
      </c>
      <c r="C482">
        <v>0.71742051052395905</v>
      </c>
      <c r="D482">
        <v>1.1559001343484101</v>
      </c>
      <c r="E482">
        <v>1.39789520824004</v>
      </c>
      <c r="F482">
        <v>1.5286609941782401</v>
      </c>
      <c r="G482">
        <v>2.1069189431258399</v>
      </c>
      <c r="H482">
        <v>2.0965629198387798</v>
      </c>
      <c r="I482">
        <v>2.39100985221675</v>
      </c>
      <c r="J482">
        <v>1.51377071204657</v>
      </c>
      <c r="K482">
        <v>2.1906627854903702</v>
      </c>
      <c r="L482">
        <v>2042.44486082494</v>
      </c>
      <c r="M482">
        <v>43.187893962469701</v>
      </c>
      <c r="O482">
        <v>47.191010868199697</v>
      </c>
      <c r="P482">
        <v>0.114396682665803</v>
      </c>
      <c r="Q482">
        <v>1.5</v>
      </c>
      <c r="R482">
        <v>0.27260259099249001</v>
      </c>
      <c r="S482" t="s">
        <v>1808</v>
      </c>
      <c r="T482" t="s">
        <v>2650</v>
      </c>
      <c r="U482" t="s">
        <v>2650</v>
      </c>
      <c r="V482" t="s">
        <v>2650</v>
      </c>
      <c r="W482" t="s">
        <v>3132</v>
      </c>
      <c r="X482">
        <v>8</v>
      </c>
      <c r="Y482" t="s">
        <v>4447</v>
      </c>
      <c r="Z482" t="s">
        <v>5762</v>
      </c>
      <c r="AA482">
        <v>1.377060043040832</v>
      </c>
      <c r="AB482" t="str">
        <f>HYPERLINK("Melting_Curves/meltCurve_P23352_ANOS1.pdf", "Melting_Curves/meltCurve_P23352_ANOS1.pdf")</f>
        <v>Melting_Curves/meltCurve_P23352_ANOS1.pdf</v>
      </c>
    </row>
    <row r="483" spans="1:28" x14ac:dyDescent="0.25">
      <c r="A483" t="s">
        <v>487</v>
      </c>
      <c r="B483">
        <v>1</v>
      </c>
      <c r="C483">
        <v>0.89684864624944505</v>
      </c>
      <c r="D483">
        <v>1.2996005326231701</v>
      </c>
      <c r="E483">
        <v>1.4986240568131399</v>
      </c>
      <c r="F483">
        <v>1.1982245894363099</v>
      </c>
      <c r="G483">
        <v>1.31371504660453</v>
      </c>
      <c r="H483">
        <v>1.1361739902352399</v>
      </c>
      <c r="I483">
        <v>1.35552596537949</v>
      </c>
      <c r="J483">
        <v>0.91602308033732804</v>
      </c>
      <c r="K483">
        <v>1.24562805148691</v>
      </c>
      <c r="L483">
        <v>11114.8217521764</v>
      </c>
      <c r="M483">
        <v>250</v>
      </c>
      <c r="O483">
        <v>44.4564418966525</v>
      </c>
      <c r="P483">
        <v>0.34505110436686398</v>
      </c>
      <c r="Q483">
        <v>1.2454359097443299</v>
      </c>
      <c r="R483">
        <v>0.38478420588085799</v>
      </c>
      <c r="S483" t="s">
        <v>1809</v>
      </c>
      <c r="T483" t="s">
        <v>2650</v>
      </c>
      <c r="U483" t="s">
        <v>2650</v>
      </c>
      <c r="V483" t="s">
        <v>2650</v>
      </c>
      <c r="W483" t="s">
        <v>3133</v>
      </c>
      <c r="X483">
        <v>5</v>
      </c>
      <c r="Y483" t="s">
        <v>4448</v>
      </c>
      <c r="Z483" t="s">
        <v>5763</v>
      </c>
      <c r="AA483">
        <v>1.2089344540601521</v>
      </c>
      <c r="AB483" t="str">
        <f>HYPERLINK("Melting_Curves/meltCurve_P23381_2_WARS.pdf", "Melting_Curves/meltCurve_P23381_2_WARS.pdf")</f>
        <v>Melting_Curves/meltCurve_P23381_2_WARS.pdf</v>
      </c>
    </row>
    <row r="484" spans="1:28" x14ac:dyDescent="0.25">
      <c r="A484" t="s">
        <v>488</v>
      </c>
      <c r="B484">
        <v>1</v>
      </c>
      <c r="C484">
        <v>1.01750288509095</v>
      </c>
      <c r="D484">
        <v>1.3588503599494399</v>
      </c>
      <c r="E484">
        <v>1.6539539484530399</v>
      </c>
      <c r="F484">
        <v>1.2913941858548099</v>
      </c>
      <c r="G484">
        <v>1.2216848931142501</v>
      </c>
      <c r="H484">
        <v>1.45686102104743</v>
      </c>
      <c r="I484">
        <v>2.11916799472441</v>
      </c>
      <c r="J484">
        <v>1.4775237676540101</v>
      </c>
      <c r="K484">
        <v>2.02808155190416</v>
      </c>
      <c r="L484">
        <v>3690.3315055244698</v>
      </c>
      <c r="M484">
        <v>81.167520294731403</v>
      </c>
      <c r="O484">
        <v>45.438041987932202</v>
      </c>
      <c r="P484">
        <v>0.22329178056172</v>
      </c>
      <c r="Q484">
        <v>1.5</v>
      </c>
      <c r="R484">
        <v>0.376272998292423</v>
      </c>
      <c r="S484" t="s">
        <v>1810</v>
      </c>
      <c r="T484" t="s">
        <v>2650</v>
      </c>
      <c r="U484" t="s">
        <v>2650</v>
      </c>
      <c r="V484" t="s">
        <v>2650</v>
      </c>
      <c r="W484" t="s">
        <v>3134</v>
      </c>
      <c r="X484">
        <v>1</v>
      </c>
      <c r="Y484" t="s">
        <v>4449</v>
      </c>
      <c r="Z484" t="s">
        <v>5764</v>
      </c>
      <c r="AA484">
        <v>1.4085270590734931</v>
      </c>
      <c r="AB484" t="str">
        <f>HYPERLINK("Melting_Curves/meltCurve_P23396_RPS3.pdf", "Melting_Curves/meltCurve_P23396_RPS3.pdf")</f>
        <v>Melting_Curves/meltCurve_P23396_RPS3.pdf</v>
      </c>
    </row>
    <row r="485" spans="1:28" x14ac:dyDescent="0.25">
      <c r="A485" t="s">
        <v>489</v>
      </c>
      <c r="B485">
        <v>1</v>
      </c>
      <c r="C485">
        <v>0.96328029375765001</v>
      </c>
      <c r="D485">
        <v>1.1682549396747699</v>
      </c>
      <c r="E485">
        <v>1.2647170251209401</v>
      </c>
      <c r="F485">
        <v>1.2710409745293501</v>
      </c>
      <c r="G485">
        <v>1.3354607448854701</v>
      </c>
      <c r="H485">
        <v>1.13730547298479</v>
      </c>
      <c r="I485">
        <v>1.3732878708398899</v>
      </c>
      <c r="J485">
        <v>0.92957684909949301</v>
      </c>
      <c r="K485">
        <v>1.30496298886752</v>
      </c>
      <c r="L485">
        <v>11454.5576626693</v>
      </c>
      <c r="M485">
        <v>250</v>
      </c>
      <c r="O485">
        <v>45.815298436057297</v>
      </c>
      <c r="P485">
        <v>0.31499770016479101</v>
      </c>
      <c r="Q485">
        <v>1.2309074187298199</v>
      </c>
      <c r="R485">
        <v>0.40624127646229902</v>
      </c>
      <c r="S485" t="s">
        <v>1811</v>
      </c>
      <c r="T485" t="s">
        <v>2650</v>
      </c>
      <c r="U485" t="s">
        <v>2650</v>
      </c>
      <c r="V485" t="s">
        <v>2650</v>
      </c>
      <c r="W485" t="s">
        <v>3135</v>
      </c>
      <c r="X485">
        <v>7</v>
      </c>
      <c r="Y485" t="s">
        <v>4450</v>
      </c>
      <c r="Z485" t="s">
        <v>5765</v>
      </c>
      <c r="AA485">
        <v>1.1861064306951461</v>
      </c>
      <c r="AB485" t="str">
        <f>HYPERLINK("Melting_Curves/meltCurve_P23468_PTPRD.pdf", "Melting_Curves/meltCurve_P23468_PTPRD.pdf")</f>
        <v>Melting_Curves/meltCurve_P23468_PTPRD.pdf</v>
      </c>
    </row>
    <row r="486" spans="1:28" x14ac:dyDescent="0.25">
      <c r="A486" t="s">
        <v>490</v>
      </c>
      <c r="B486">
        <v>1</v>
      </c>
      <c r="C486">
        <v>1.0653598812762799</v>
      </c>
      <c r="D486">
        <v>1.4941256492703401</v>
      </c>
      <c r="E486">
        <v>1.81962651496414</v>
      </c>
      <c r="F486">
        <v>2.00018550581252</v>
      </c>
      <c r="G486">
        <v>2.0407494434825599</v>
      </c>
      <c r="H486">
        <v>1.79520158298293</v>
      </c>
      <c r="I486">
        <v>2.4321667078901799</v>
      </c>
      <c r="J486">
        <v>2.03938906752412</v>
      </c>
      <c r="K486">
        <v>1.96364086074697</v>
      </c>
      <c r="L486">
        <v>4093.40626144202</v>
      </c>
      <c r="M486">
        <v>93.522290961713196</v>
      </c>
      <c r="O486">
        <v>43.749309554931699</v>
      </c>
      <c r="P486">
        <v>0.26721078175507501</v>
      </c>
      <c r="Q486">
        <v>1.5</v>
      </c>
      <c r="R486">
        <v>-0.142981058034264</v>
      </c>
      <c r="S486" t="s">
        <v>1812</v>
      </c>
      <c r="T486" t="s">
        <v>2650</v>
      </c>
      <c r="U486" t="s">
        <v>2650</v>
      </c>
      <c r="V486" t="s">
        <v>2650</v>
      </c>
      <c r="W486" t="s">
        <v>3136</v>
      </c>
      <c r="X486">
        <v>3</v>
      </c>
      <c r="Y486" t="s">
        <v>4451</v>
      </c>
      <c r="Z486" t="s">
        <v>5766</v>
      </c>
      <c r="AA486">
        <v>1.436902370974642</v>
      </c>
      <c r="AB486" t="str">
        <f>HYPERLINK("Melting_Curves/meltCurve_P23470_2_PTPRG.pdf", "Melting_Curves/meltCurve_P23470_2_PTPRG.pdf")</f>
        <v>Melting_Curves/meltCurve_P23470_2_PTPRG.pdf</v>
      </c>
    </row>
    <row r="487" spans="1:28" x14ac:dyDescent="0.25">
      <c r="A487" t="s">
        <v>491</v>
      </c>
      <c r="B487">
        <v>1</v>
      </c>
      <c r="C487">
        <v>0.85142643111305305</v>
      </c>
      <c r="D487">
        <v>1.21074973469006</v>
      </c>
      <c r="E487">
        <v>1.43916599038642</v>
      </c>
      <c r="F487">
        <v>1.3165615831200499</v>
      </c>
      <c r="G487">
        <v>1.1750671078094801</v>
      </c>
      <c r="H487">
        <v>1.0931768524876699</v>
      </c>
      <c r="I487">
        <v>1.73843560771584</v>
      </c>
      <c r="J487">
        <v>1.18561707971784</v>
      </c>
      <c r="K487">
        <v>1.8912541357138399</v>
      </c>
      <c r="L487">
        <v>494.43977822629699</v>
      </c>
      <c r="M487">
        <v>9.6921387174557108</v>
      </c>
      <c r="O487">
        <v>48.984814302290303</v>
      </c>
      <c r="P487">
        <v>2.47460634272226E-2</v>
      </c>
      <c r="Q487">
        <v>1.5</v>
      </c>
      <c r="R487">
        <v>0.37205213436227702</v>
      </c>
      <c r="S487" t="s">
        <v>1813</v>
      </c>
      <c r="T487" t="s">
        <v>2650</v>
      </c>
      <c r="U487" t="s">
        <v>2650</v>
      </c>
      <c r="V487" t="s">
        <v>2650</v>
      </c>
      <c r="W487" t="s">
        <v>3137</v>
      </c>
      <c r="X487">
        <v>1</v>
      </c>
      <c r="Y487" t="s">
        <v>4452</v>
      </c>
      <c r="Z487" t="s">
        <v>5767</v>
      </c>
      <c r="AA487">
        <v>1.294849453818075</v>
      </c>
      <c r="AB487" t="str">
        <f>HYPERLINK("Melting_Curves/meltCurve_P23526_2_AHCY.pdf", "Melting_Curves/meltCurve_P23526_2_AHCY.pdf")</f>
        <v>Melting_Curves/meltCurve_P23526_2_AHCY.pdf</v>
      </c>
    </row>
    <row r="488" spans="1:28" x14ac:dyDescent="0.25">
      <c r="A488" t="s">
        <v>492</v>
      </c>
      <c r="B488">
        <v>1</v>
      </c>
      <c r="C488">
        <v>0.74467556659422496</v>
      </c>
      <c r="D488">
        <v>0.98956845700093099</v>
      </c>
      <c r="E488">
        <v>1.0828935113318801</v>
      </c>
      <c r="F488">
        <v>0.84774914622788</v>
      </c>
      <c r="G488">
        <v>0.91673393356100596</v>
      </c>
      <c r="H488">
        <v>0.83992548897857799</v>
      </c>
      <c r="I488">
        <v>0.93635516920211104</v>
      </c>
      <c r="J488">
        <v>0.630239056193729</v>
      </c>
      <c r="K488">
        <v>0.80105557280347695</v>
      </c>
      <c r="L488">
        <v>265.22809635679903</v>
      </c>
      <c r="M488">
        <v>2.6344438032008899</v>
      </c>
      <c r="O488">
        <v>69.736942727886998</v>
      </c>
      <c r="P488">
        <v>-9.8639887805292408E-3</v>
      </c>
      <c r="Q488">
        <v>0</v>
      </c>
      <c r="R488">
        <v>0.24917881361993399</v>
      </c>
      <c r="S488" t="s">
        <v>1814</v>
      </c>
      <c r="T488" t="s">
        <v>2650</v>
      </c>
      <c r="U488" t="s">
        <v>2650</v>
      </c>
      <c r="V488" t="s">
        <v>2650</v>
      </c>
      <c r="W488" t="s">
        <v>3138</v>
      </c>
      <c r="X488">
        <v>4</v>
      </c>
      <c r="Y488" t="s">
        <v>4453</v>
      </c>
      <c r="Z488" t="s">
        <v>5768</v>
      </c>
      <c r="AA488">
        <v>0.88954366348718517</v>
      </c>
      <c r="AB488" t="str">
        <f>HYPERLINK("Melting_Curves/meltCurve_P23528_CFL1.pdf", "Melting_Curves/meltCurve_P23528_CFL1.pdf")</f>
        <v>Melting_Curves/meltCurve_P23528_CFL1.pdf</v>
      </c>
    </row>
    <row r="489" spans="1:28" x14ac:dyDescent="0.25">
      <c r="A489" t="s">
        <v>493</v>
      </c>
      <c r="B489">
        <v>1</v>
      </c>
      <c r="C489">
        <v>0.75357023592040395</v>
      </c>
      <c r="D489">
        <v>1.07932111497437</v>
      </c>
      <c r="E489">
        <v>1.2850295637142199</v>
      </c>
      <c r="F489">
        <v>0.95503565325004403</v>
      </c>
      <c r="G489">
        <v>0.96086982143909505</v>
      </c>
      <c r="H489">
        <v>0.93623666686310303</v>
      </c>
      <c r="I489">
        <v>1.1026185004027</v>
      </c>
      <c r="J489">
        <v>0.676626004282319</v>
      </c>
      <c r="K489">
        <v>0.87180544915237601</v>
      </c>
      <c r="L489">
        <v>5819.2658081322897</v>
      </c>
      <c r="M489">
        <v>88.858717709941104</v>
      </c>
      <c r="O489">
        <v>65.455810837721202</v>
      </c>
      <c r="P489">
        <v>-7.6394975701978701E-2</v>
      </c>
      <c r="Q489">
        <v>0.77490130261793799</v>
      </c>
      <c r="R489">
        <v>0.27827220084985899</v>
      </c>
      <c r="S489" t="s">
        <v>1815</v>
      </c>
      <c r="T489" t="s">
        <v>2650</v>
      </c>
      <c r="U489" t="s">
        <v>2650</v>
      </c>
      <c r="V489" t="s">
        <v>2650</v>
      </c>
      <c r="W489" t="s">
        <v>3139</v>
      </c>
      <c r="X489">
        <v>4</v>
      </c>
      <c r="Y489" t="s">
        <v>4454</v>
      </c>
      <c r="Z489" t="s">
        <v>5769</v>
      </c>
      <c r="AA489">
        <v>0.96633645378765831</v>
      </c>
      <c r="AB489" t="str">
        <f>HYPERLINK("Melting_Curves/meltCurve_P23588_EIF4B.pdf", "Melting_Curves/meltCurve_P23588_EIF4B.pdf")</f>
        <v>Melting_Curves/meltCurve_P23588_EIF4B.pdf</v>
      </c>
    </row>
    <row r="490" spans="1:28" x14ac:dyDescent="0.25">
      <c r="A490" t="s">
        <v>494</v>
      </c>
      <c r="B490">
        <v>1</v>
      </c>
      <c r="C490">
        <v>1.1926987713599799</v>
      </c>
      <c r="D490">
        <v>1.3125735536412</v>
      </c>
      <c r="E490">
        <v>1.9862542955326501</v>
      </c>
      <c r="F490">
        <v>2.0712940733418099</v>
      </c>
      <c r="G490">
        <v>2.3760768253071598</v>
      </c>
      <c r="H490">
        <v>2.40973497152003</v>
      </c>
      <c r="I490">
        <v>3.3215647507414201</v>
      </c>
      <c r="J490">
        <v>2.5220072494468799</v>
      </c>
      <c r="K490">
        <v>3.0259379560325801</v>
      </c>
      <c r="L490">
        <v>1630.4348525810101</v>
      </c>
      <c r="M490">
        <v>37.1795667705981</v>
      </c>
      <c r="O490">
        <v>43.726701627604697</v>
      </c>
      <c r="P490">
        <v>0.10628424819683401</v>
      </c>
      <c r="Q490">
        <v>1.5</v>
      </c>
      <c r="R490">
        <v>-0.654148403163617</v>
      </c>
      <c r="S490" t="s">
        <v>1816</v>
      </c>
      <c r="T490" t="s">
        <v>2650</v>
      </c>
      <c r="U490" t="s">
        <v>2650</v>
      </c>
      <c r="V490" t="s">
        <v>2650</v>
      </c>
      <c r="W490" t="s">
        <v>3140</v>
      </c>
      <c r="X490">
        <v>2</v>
      </c>
      <c r="Y490" t="s">
        <v>4455</v>
      </c>
      <c r="Z490" t="s">
        <v>5770</v>
      </c>
      <c r="AA490">
        <v>1.4335980105448221</v>
      </c>
      <c r="AB490" t="str">
        <f>HYPERLINK("Melting_Curves/meltCurve_P24158_PRTN3.pdf", "Melting_Curves/meltCurve_P24158_PRTN3.pdf")</f>
        <v>Melting_Curves/meltCurve_P24158_PRTN3.pdf</v>
      </c>
    </row>
    <row r="491" spans="1:28" x14ac:dyDescent="0.25">
      <c r="A491" t="s">
        <v>495</v>
      </c>
      <c r="B491">
        <v>1</v>
      </c>
      <c r="C491">
        <v>0.74438035068442998</v>
      </c>
      <c r="D491">
        <v>1.1151398617406001</v>
      </c>
      <c r="E491">
        <v>1.21492011170627</v>
      </c>
      <c r="F491">
        <v>0.92137069083917</v>
      </c>
      <c r="G491">
        <v>0.94732866364510404</v>
      </c>
      <c r="H491">
        <v>0.87007279219887401</v>
      </c>
      <c r="I491">
        <v>0.95914022799066101</v>
      </c>
      <c r="J491">
        <v>0.61532298676921704</v>
      </c>
      <c r="K491">
        <v>0.81577622121503501</v>
      </c>
      <c r="L491">
        <v>1305.6911953916999</v>
      </c>
      <c r="M491">
        <v>20.7013357810618</v>
      </c>
      <c r="O491">
        <v>62.493091756818103</v>
      </c>
      <c r="P491">
        <v>-2.4090644807827601E-2</v>
      </c>
      <c r="Q491">
        <v>0.70910942607449101</v>
      </c>
      <c r="R491">
        <v>0.33717281874633898</v>
      </c>
      <c r="S491" t="s">
        <v>1817</v>
      </c>
      <c r="T491" t="s">
        <v>2650</v>
      </c>
      <c r="U491" t="s">
        <v>2650</v>
      </c>
      <c r="V491" t="s">
        <v>2650</v>
      </c>
      <c r="W491" t="s">
        <v>3141</v>
      </c>
      <c r="X491">
        <v>2</v>
      </c>
      <c r="Y491" t="s">
        <v>4456</v>
      </c>
      <c r="Z491" t="s">
        <v>5771</v>
      </c>
      <c r="AA491">
        <v>0.93268674280507591</v>
      </c>
      <c r="AB491" t="str">
        <f>HYPERLINK("Melting_Curves/meltCurve_P24592_IGFBP6.pdf", "Melting_Curves/meltCurve_P24592_IGFBP6.pdf")</f>
        <v>Melting_Curves/meltCurve_P24592_IGFBP6.pdf</v>
      </c>
    </row>
    <row r="492" spans="1:28" x14ac:dyDescent="0.25">
      <c r="A492" t="s">
        <v>496</v>
      </c>
      <c r="B492">
        <v>1</v>
      </c>
      <c r="C492">
        <v>0.73318080454111001</v>
      </c>
      <c r="D492">
        <v>1.1550291059689</v>
      </c>
      <c r="E492">
        <v>1.32152683251759</v>
      </c>
      <c r="F492">
        <v>1.07874540241536</v>
      </c>
      <c r="G492">
        <v>1.00055026209853</v>
      </c>
      <c r="H492">
        <v>0.94398911060268198</v>
      </c>
      <c r="I492">
        <v>1.0737640823655501</v>
      </c>
      <c r="J492">
        <v>0.63268556865243697</v>
      </c>
      <c r="K492">
        <v>0.92727851950534301</v>
      </c>
      <c r="L492">
        <v>15000</v>
      </c>
      <c r="M492">
        <v>229.46949684020001</v>
      </c>
      <c r="O492">
        <v>65.363202014025006</v>
      </c>
      <c r="P492">
        <v>-0.19297728135846101</v>
      </c>
      <c r="Q492">
        <v>0.78012567528143695</v>
      </c>
      <c r="R492">
        <v>0.26876645028730201</v>
      </c>
      <c r="S492" t="s">
        <v>1818</v>
      </c>
      <c r="T492" t="s">
        <v>2650</v>
      </c>
      <c r="U492" t="s">
        <v>2650</v>
      </c>
      <c r="V492" t="s">
        <v>2650</v>
      </c>
      <c r="W492" t="s">
        <v>3142</v>
      </c>
      <c r="X492">
        <v>5</v>
      </c>
      <c r="Y492" t="s">
        <v>4457</v>
      </c>
      <c r="Z492" t="s">
        <v>5772</v>
      </c>
      <c r="AA492">
        <v>0.96608255584460589</v>
      </c>
      <c r="AB492" t="str">
        <f>HYPERLINK("Melting_Curves/meltCurve_P24593_IGFBP5.pdf", "Melting_Curves/meltCurve_P24593_IGFBP5.pdf")</f>
        <v>Melting_Curves/meltCurve_P24593_IGFBP5.pdf</v>
      </c>
    </row>
    <row r="493" spans="1:28" x14ac:dyDescent="0.25">
      <c r="A493" t="s">
        <v>497</v>
      </c>
      <c r="B493">
        <v>1</v>
      </c>
      <c r="C493">
        <v>0.74262582264097299</v>
      </c>
      <c r="D493">
        <v>1.10932247526159</v>
      </c>
      <c r="E493">
        <v>1.2666540410018501</v>
      </c>
      <c r="F493">
        <v>1.11206855735997</v>
      </c>
      <c r="G493">
        <v>1.3711945457128001</v>
      </c>
      <c r="H493">
        <v>1.2374414090241901</v>
      </c>
      <c r="I493">
        <v>1.4508782728090499</v>
      </c>
      <c r="J493">
        <v>1.102694001231</v>
      </c>
      <c r="K493">
        <v>1.3476634629042199</v>
      </c>
      <c r="L493">
        <v>11517.656961213401</v>
      </c>
      <c r="M493">
        <v>250</v>
      </c>
      <c r="O493">
        <v>46.067693074737399</v>
      </c>
      <c r="P493">
        <v>0.36603643097204602</v>
      </c>
      <c r="Q493">
        <v>1.2697991846027099</v>
      </c>
      <c r="R493">
        <v>0.56357848785837406</v>
      </c>
      <c r="S493" t="s">
        <v>1819</v>
      </c>
      <c r="T493" t="s">
        <v>2650</v>
      </c>
      <c r="U493" t="s">
        <v>2650</v>
      </c>
      <c r="V493" t="s">
        <v>2650</v>
      </c>
      <c r="W493" t="s">
        <v>3143</v>
      </c>
      <c r="X493">
        <v>1</v>
      </c>
      <c r="Y493" t="s">
        <v>4458</v>
      </c>
      <c r="Z493" t="s">
        <v>5773</v>
      </c>
      <c r="AA493">
        <v>1.2151823557136581</v>
      </c>
      <c r="AB493" t="str">
        <f>HYPERLINK("Melting_Curves/meltCurve_P24666_4_ACP1.pdf", "Melting_Curves/meltCurve_P24666_4_ACP1.pdf")</f>
        <v>Melting_Curves/meltCurve_P24666_4_ACP1.pdf</v>
      </c>
    </row>
    <row r="494" spans="1:28" x14ac:dyDescent="0.25">
      <c r="A494" t="s">
        <v>498</v>
      </c>
      <c r="B494">
        <v>1</v>
      </c>
      <c r="C494">
        <v>0.745789473684211</v>
      </c>
      <c r="D494">
        <v>1.2899649122807</v>
      </c>
      <c r="E494">
        <v>1.80298245614035</v>
      </c>
      <c r="F494">
        <v>1.0439473684210501</v>
      </c>
      <c r="G494">
        <v>1.24078947368421</v>
      </c>
      <c r="H494">
        <v>1.17422807017544</v>
      </c>
      <c r="I494">
        <v>1.1790350877193001</v>
      </c>
      <c r="J494">
        <v>0.67375438596491199</v>
      </c>
      <c r="K494">
        <v>1.2873684210526299</v>
      </c>
      <c r="L494">
        <v>15000</v>
      </c>
      <c r="M494">
        <v>214.58591481051101</v>
      </c>
      <c r="O494">
        <v>69.896000242863295</v>
      </c>
      <c r="P494">
        <v>0.38375928932709502</v>
      </c>
      <c r="Q494">
        <v>1.5</v>
      </c>
      <c r="R494">
        <v>-0.13828830140857401</v>
      </c>
      <c r="S494" t="s">
        <v>1820</v>
      </c>
      <c r="T494" t="s">
        <v>2650</v>
      </c>
      <c r="U494" t="s">
        <v>2650</v>
      </c>
      <c r="V494" t="s">
        <v>2650</v>
      </c>
      <c r="W494" t="s">
        <v>3144</v>
      </c>
      <c r="X494">
        <v>1</v>
      </c>
      <c r="Y494" t="s">
        <v>4459</v>
      </c>
      <c r="Z494" t="s">
        <v>5774</v>
      </c>
      <c r="AA494">
        <v>1.0045993721882971</v>
      </c>
      <c r="AB494" t="str">
        <f>HYPERLINK("Melting_Curves/meltCurve_P24821_6_TNC.pdf", "Melting_Curves/meltCurve_P24821_6_TNC.pdf")</f>
        <v>Melting_Curves/meltCurve_P24821_6_TNC.pdf</v>
      </c>
    </row>
    <row r="495" spans="1:28" x14ac:dyDescent="0.25">
      <c r="A495" t="s">
        <v>499</v>
      </c>
      <c r="B495">
        <v>1</v>
      </c>
      <c r="C495">
        <v>0.75772349199692501</v>
      </c>
      <c r="D495">
        <v>1.36356329069686</v>
      </c>
      <c r="E495">
        <v>1.4636716292723799</v>
      </c>
      <c r="F495">
        <v>1.2826238904033</v>
      </c>
      <c r="G495">
        <v>1.292147200671</v>
      </c>
      <c r="H495">
        <v>1.2906968616761001</v>
      </c>
      <c r="I495">
        <v>2.1246592577060199</v>
      </c>
      <c r="J495">
        <v>1.54667295729363</v>
      </c>
      <c r="K495">
        <v>2.9564199342978998</v>
      </c>
      <c r="L495">
        <v>812.55663159345204</v>
      </c>
      <c r="M495">
        <v>37.133578113711302</v>
      </c>
      <c r="Q495">
        <v>1.5</v>
      </c>
      <c r="R495">
        <v>-1.76221488985107E-4</v>
      </c>
      <c r="S495" t="s">
        <v>1821</v>
      </c>
      <c r="T495" t="s">
        <v>2650</v>
      </c>
      <c r="U495" t="s">
        <v>2650</v>
      </c>
      <c r="V495" t="s">
        <v>2650</v>
      </c>
      <c r="W495" t="s">
        <v>3145</v>
      </c>
      <c r="X495">
        <v>1</v>
      </c>
      <c r="Y495" t="s">
        <v>4460</v>
      </c>
      <c r="Z495" t="s">
        <v>5775</v>
      </c>
      <c r="AA495">
        <v>1.499999998183664</v>
      </c>
      <c r="AB495" t="str">
        <f>HYPERLINK("Melting_Curves/meltCurve_P24855_DNASE1.pdf", "Melting_Curves/meltCurve_P24855_DNASE1.pdf")</f>
        <v>Melting_Curves/meltCurve_P24855_DNASE1.pdf</v>
      </c>
    </row>
    <row r="496" spans="1:28" x14ac:dyDescent="0.25">
      <c r="A496" t="s">
        <v>500</v>
      </c>
      <c r="B496">
        <v>1</v>
      </c>
      <c r="C496">
        <v>1.0496081320605599</v>
      </c>
      <c r="D496">
        <v>1.05701838682811</v>
      </c>
      <c r="E496">
        <v>1.0864885642898301</v>
      </c>
      <c r="F496">
        <v>1.18711427168087</v>
      </c>
      <c r="G496">
        <v>1.17521942469088</v>
      </c>
      <c r="H496">
        <v>1.04676789031969</v>
      </c>
      <c r="I496">
        <v>1.1996284195015701</v>
      </c>
      <c r="J496">
        <v>1.1866017468554499</v>
      </c>
      <c r="K496">
        <v>1.1920900335276701</v>
      </c>
      <c r="L496">
        <v>641.37076449123299</v>
      </c>
      <c r="M496">
        <v>13.4580435216764</v>
      </c>
      <c r="O496">
        <v>46.641724491424498</v>
      </c>
      <c r="P496">
        <v>1.2429672753599699E-2</v>
      </c>
      <c r="Q496">
        <v>1.1722841471485199</v>
      </c>
      <c r="R496">
        <v>0.63088535355981101</v>
      </c>
      <c r="S496" t="s">
        <v>1822</v>
      </c>
      <c r="T496" t="s">
        <v>2650</v>
      </c>
      <c r="U496" t="s">
        <v>2650</v>
      </c>
      <c r="V496" t="s">
        <v>2650</v>
      </c>
      <c r="W496" t="s">
        <v>3146</v>
      </c>
      <c r="X496">
        <v>25</v>
      </c>
      <c r="Y496" t="s">
        <v>4461</v>
      </c>
      <c r="Z496" t="s">
        <v>5776</v>
      </c>
      <c r="AA496">
        <v>1.1227323606669259</v>
      </c>
      <c r="AB496" t="str">
        <f>HYPERLINK("Melting_Curves/meltCurve_P25311_AZGP1.pdf", "Melting_Curves/meltCurve_P25311_AZGP1.pdf")</f>
        <v>Melting_Curves/meltCurve_P25311_AZGP1.pdf</v>
      </c>
    </row>
    <row r="497" spans="1:28" x14ac:dyDescent="0.25">
      <c r="A497" t="s">
        <v>501</v>
      </c>
      <c r="B497">
        <v>1</v>
      </c>
      <c r="C497">
        <v>0.71546237364283005</v>
      </c>
      <c r="D497">
        <v>1.1173717708723301</v>
      </c>
      <c r="E497">
        <v>1.30001247972045</v>
      </c>
      <c r="F497">
        <v>0.97441657306876295</v>
      </c>
      <c r="G497">
        <v>0.95781854486459495</v>
      </c>
      <c r="H497">
        <v>0.90552851616123797</v>
      </c>
      <c r="I497">
        <v>1.0866716585548499</v>
      </c>
      <c r="J497">
        <v>0.61367777361787101</v>
      </c>
      <c r="K497">
        <v>0.89142643204792205</v>
      </c>
      <c r="L497">
        <v>7446.1345647689996</v>
      </c>
      <c r="M497">
        <v>113.95218608562099</v>
      </c>
      <c r="O497">
        <v>65.324251816930698</v>
      </c>
      <c r="P497">
        <v>-0.1071144328837</v>
      </c>
      <c r="Q497">
        <v>0.75438222432936497</v>
      </c>
      <c r="R497">
        <v>0.27575254767922602</v>
      </c>
      <c r="S497" t="s">
        <v>1823</v>
      </c>
      <c r="T497" t="s">
        <v>2650</v>
      </c>
      <c r="U497" t="s">
        <v>2650</v>
      </c>
      <c r="V497" t="s">
        <v>2650</v>
      </c>
      <c r="W497" t="s">
        <v>3147</v>
      </c>
      <c r="X497">
        <v>5</v>
      </c>
      <c r="Y497" t="s">
        <v>4462</v>
      </c>
      <c r="Z497" t="s">
        <v>5777</v>
      </c>
      <c r="AA497">
        <v>0.96201608665782457</v>
      </c>
      <c r="AB497" t="str">
        <f>HYPERLINK("Melting_Curves/meltCurve_P25398_RPS12.pdf", "Melting_Curves/meltCurve_P25398_RPS12.pdf")</f>
        <v>Melting_Curves/meltCurve_P25398_RPS12.pdf</v>
      </c>
    </row>
    <row r="498" spans="1:28" x14ac:dyDescent="0.25">
      <c r="A498" t="s">
        <v>502</v>
      </c>
      <c r="B498">
        <v>1</v>
      </c>
      <c r="C498">
        <v>0.79361775359349696</v>
      </c>
      <c r="D498">
        <v>0.91273990788848303</v>
      </c>
      <c r="E498">
        <v>1.02047104715389</v>
      </c>
      <c r="F498">
        <v>0.86752003671348699</v>
      </c>
      <c r="G498">
        <v>0.80863094750299103</v>
      </c>
      <c r="H498">
        <v>0.83028207103404195</v>
      </c>
      <c r="I498">
        <v>0.90011964663268496</v>
      </c>
      <c r="J498">
        <v>0.67654434300886701</v>
      </c>
      <c r="K498">
        <v>0.79991149427171304</v>
      </c>
      <c r="L498">
        <v>160.17705893306399</v>
      </c>
      <c r="M498">
        <v>1.0669753714988699</v>
      </c>
      <c r="O498">
        <v>56.618184915836999</v>
      </c>
      <c r="P498">
        <v>-6.2488119220813296E-3</v>
      </c>
      <c r="Q498">
        <v>0</v>
      </c>
      <c r="R498">
        <v>0.342454274525544</v>
      </c>
      <c r="S498" t="s">
        <v>1824</v>
      </c>
      <c r="T498" t="s">
        <v>2650</v>
      </c>
      <c r="U498" t="s">
        <v>2650</v>
      </c>
      <c r="V498" t="s">
        <v>2650</v>
      </c>
      <c r="W498" t="s">
        <v>3148</v>
      </c>
      <c r="X498">
        <v>1</v>
      </c>
      <c r="Y498" t="s">
        <v>4463</v>
      </c>
      <c r="Z498" t="s">
        <v>5778</v>
      </c>
      <c r="AA498">
        <v>0.8628529021990341</v>
      </c>
      <c r="AB498" t="str">
        <f>HYPERLINK("Melting_Curves/meltCurve_P25686_2_DNAJB2.pdf", "Melting_Curves/meltCurve_P25686_2_DNAJB2.pdf")</f>
        <v>Melting_Curves/meltCurve_P25686_2_DNAJB2.pdf</v>
      </c>
    </row>
    <row r="499" spans="1:28" x14ac:dyDescent="0.25">
      <c r="A499" t="s">
        <v>503</v>
      </c>
      <c r="B499">
        <v>1</v>
      </c>
      <c r="C499">
        <v>0.95141104975441904</v>
      </c>
      <c r="D499">
        <v>1.5192718594777599</v>
      </c>
      <c r="E499">
        <v>1.9962815994672101</v>
      </c>
      <c r="F499">
        <v>1.6767488969670099</v>
      </c>
      <c r="G499">
        <v>1.7885784055276499</v>
      </c>
      <c r="H499">
        <v>1.6918722424175201</v>
      </c>
      <c r="I499">
        <v>2.0179260204789502</v>
      </c>
      <c r="J499">
        <v>1.29670893803591</v>
      </c>
      <c r="K499">
        <v>1.8449093986735901</v>
      </c>
      <c r="L499">
        <v>11120.927625923099</v>
      </c>
      <c r="M499">
        <v>250</v>
      </c>
      <c r="O499">
        <v>44.480864708617403</v>
      </c>
      <c r="P499">
        <v>0.70254930632552604</v>
      </c>
      <c r="Q499">
        <v>1.5</v>
      </c>
      <c r="R499">
        <v>0.37016304861652799</v>
      </c>
      <c r="S499" t="s">
        <v>1825</v>
      </c>
      <c r="T499" t="s">
        <v>2650</v>
      </c>
      <c r="U499" t="s">
        <v>2650</v>
      </c>
      <c r="V499" t="s">
        <v>2650</v>
      </c>
      <c r="W499" t="s">
        <v>3149</v>
      </c>
      <c r="X499">
        <v>6</v>
      </c>
      <c r="Y499" t="s">
        <v>4464</v>
      </c>
      <c r="Z499" t="s">
        <v>5779</v>
      </c>
      <c r="AA499">
        <v>1.4252324574953179</v>
      </c>
      <c r="AB499" t="str">
        <f>HYPERLINK("Melting_Curves/meltCurve_P25774_CTSS.pdf", "Melting_Curves/meltCurve_P25774_CTSS.pdf")</f>
        <v>Melting_Curves/meltCurve_P25774_CTSS.pdf</v>
      </c>
    </row>
    <row r="500" spans="1:28" x14ac:dyDescent="0.25">
      <c r="A500" t="s">
        <v>504</v>
      </c>
      <c r="B500">
        <v>1</v>
      </c>
      <c r="C500">
        <v>0.74619338104615995</v>
      </c>
      <c r="D500">
        <v>1.18977856765455</v>
      </c>
      <c r="E500">
        <v>1.5203419952927599</v>
      </c>
      <c r="F500">
        <v>1.1344925308612299</v>
      </c>
      <c r="G500">
        <v>1.49522071184975</v>
      </c>
      <c r="H500">
        <v>1.7539267015706801</v>
      </c>
      <c r="I500">
        <v>2.4121235409962098</v>
      </c>
      <c r="J500">
        <v>1.6175128488399999</v>
      </c>
      <c r="K500">
        <v>2.1733512656707799</v>
      </c>
      <c r="L500">
        <v>11522.605709241599</v>
      </c>
      <c r="M500">
        <v>250</v>
      </c>
      <c r="O500">
        <v>46.087472877511999</v>
      </c>
      <c r="P500">
        <v>0.67805843456521298</v>
      </c>
      <c r="Q500">
        <v>1.5</v>
      </c>
      <c r="R500">
        <v>0.35235094094877301</v>
      </c>
      <c r="S500" t="s">
        <v>1826</v>
      </c>
      <c r="T500" t="s">
        <v>2650</v>
      </c>
      <c r="U500" t="s">
        <v>2650</v>
      </c>
      <c r="V500" t="s">
        <v>2650</v>
      </c>
      <c r="W500" t="s">
        <v>3150</v>
      </c>
      <c r="X500">
        <v>2</v>
      </c>
      <c r="Y500" t="s">
        <v>4465</v>
      </c>
      <c r="Z500" t="s">
        <v>5780</v>
      </c>
      <c r="AA500">
        <v>1.3984525087298501</v>
      </c>
      <c r="AB500" t="str">
        <f>HYPERLINK("Melting_Curves/meltCurve_P25786_PSMA1.pdf", "Melting_Curves/meltCurve_P25786_PSMA1.pdf")</f>
        <v>Melting_Curves/meltCurve_P25786_PSMA1.pdf</v>
      </c>
    </row>
    <row r="501" spans="1:28" x14ac:dyDescent="0.25">
      <c r="A501" t="s">
        <v>505</v>
      </c>
      <c r="B501">
        <v>1</v>
      </c>
      <c r="C501">
        <v>0.75367343942354403</v>
      </c>
      <c r="D501">
        <v>1.2387481505743101</v>
      </c>
      <c r="E501">
        <v>1.4581945087586501</v>
      </c>
      <c r="F501">
        <v>1.21367502061192</v>
      </c>
      <c r="G501">
        <v>1.6226380998633401</v>
      </c>
      <c r="H501">
        <v>1.31712991721349</v>
      </c>
      <c r="I501">
        <v>1.58672253532262</v>
      </c>
      <c r="J501">
        <v>1.0284952733761801</v>
      </c>
      <c r="K501">
        <v>1.3335065111078499</v>
      </c>
      <c r="L501">
        <v>11470.9702582764</v>
      </c>
      <c r="M501">
        <v>250</v>
      </c>
      <c r="O501">
        <v>45.880928232044802</v>
      </c>
      <c r="P501">
        <v>0.49825421257541802</v>
      </c>
      <c r="Q501">
        <v>1.3657659844446099</v>
      </c>
      <c r="R501">
        <v>0.51314245953604198</v>
      </c>
      <c r="S501" t="s">
        <v>1827</v>
      </c>
      <c r="T501" t="s">
        <v>2650</v>
      </c>
      <c r="U501" t="s">
        <v>2650</v>
      </c>
      <c r="V501" t="s">
        <v>2650</v>
      </c>
      <c r="W501" t="s">
        <v>3151</v>
      </c>
      <c r="X501">
        <v>2</v>
      </c>
      <c r="Y501" t="s">
        <v>4466</v>
      </c>
      <c r="Z501" t="s">
        <v>5781</v>
      </c>
      <c r="AA501">
        <v>1.293999079675928</v>
      </c>
      <c r="AB501" t="str">
        <f>HYPERLINK("Melting_Curves/meltCurve_P25787_PSMA2.pdf", "Melting_Curves/meltCurve_P25787_PSMA2.pdf")</f>
        <v>Melting_Curves/meltCurve_P25787_PSMA2.pdf</v>
      </c>
    </row>
    <row r="502" spans="1:28" x14ac:dyDescent="0.25">
      <c r="A502" t="s">
        <v>506</v>
      </c>
      <c r="B502">
        <v>1</v>
      </c>
      <c r="C502">
        <v>0.81193799304904302</v>
      </c>
      <c r="D502">
        <v>1.2655155293208999</v>
      </c>
      <c r="E502">
        <v>1.8468582777072899</v>
      </c>
      <c r="F502">
        <v>1.5120538423346399</v>
      </c>
      <c r="G502">
        <v>1.75605450433056</v>
      </c>
      <c r="H502">
        <v>2.2024604181607499</v>
      </c>
      <c r="I502">
        <v>3.4496055607657099</v>
      </c>
      <c r="J502">
        <v>2.3382799139405299</v>
      </c>
      <c r="K502">
        <v>3.0959342417388398</v>
      </c>
      <c r="L502">
        <v>11494.2829415052</v>
      </c>
      <c r="M502">
        <v>250</v>
      </c>
      <c r="O502">
        <v>45.974189548203697</v>
      </c>
      <c r="P502">
        <v>0.679729220960959</v>
      </c>
      <c r="Q502">
        <v>1.5</v>
      </c>
      <c r="R502">
        <v>-0.162879499028631</v>
      </c>
      <c r="S502" t="s">
        <v>1828</v>
      </c>
      <c r="T502" t="s">
        <v>2650</v>
      </c>
      <c r="U502" t="s">
        <v>2650</v>
      </c>
      <c r="V502" t="s">
        <v>2650</v>
      </c>
      <c r="W502" t="s">
        <v>3152</v>
      </c>
      <c r="X502">
        <v>4</v>
      </c>
      <c r="Y502" t="s">
        <v>4467</v>
      </c>
      <c r="Z502" t="s">
        <v>5782</v>
      </c>
      <c r="AA502">
        <v>1.400340792657643</v>
      </c>
      <c r="AB502" t="str">
        <f>HYPERLINK("Melting_Curves/meltCurve_P25788_2_PSMA3.pdf", "Melting_Curves/meltCurve_P25788_2_PSMA3.pdf")</f>
        <v>Melting_Curves/meltCurve_P25788_2_PSMA3.pdf</v>
      </c>
    </row>
    <row r="503" spans="1:28" x14ac:dyDescent="0.25">
      <c r="A503" t="s">
        <v>507</v>
      </c>
      <c r="B503">
        <v>1</v>
      </c>
      <c r="C503">
        <v>0.89303290839015703</v>
      </c>
      <c r="D503">
        <v>1.2383041802549699</v>
      </c>
      <c r="E503">
        <v>1.6286984879928801</v>
      </c>
      <c r="F503">
        <v>1.3067299140231201</v>
      </c>
      <c r="G503">
        <v>1.5316928550252</v>
      </c>
      <c r="H503">
        <v>1.4298250815297999</v>
      </c>
      <c r="I503">
        <v>1.8358731099911101</v>
      </c>
      <c r="J503">
        <v>1.2475541061369699</v>
      </c>
      <c r="K503">
        <v>1.6576341535724901</v>
      </c>
      <c r="L503">
        <v>11504.3072076796</v>
      </c>
      <c r="M503">
        <v>250</v>
      </c>
      <c r="O503">
        <v>46.014283880671798</v>
      </c>
      <c r="P503">
        <v>0.679136939607903</v>
      </c>
      <c r="Q503">
        <v>1.5</v>
      </c>
      <c r="R503">
        <v>0.65773333493592001</v>
      </c>
      <c r="S503" t="s">
        <v>1829</v>
      </c>
      <c r="T503" t="s">
        <v>2650</v>
      </c>
      <c r="U503" t="s">
        <v>2650</v>
      </c>
      <c r="V503" t="s">
        <v>2650</v>
      </c>
      <c r="W503" t="s">
        <v>3153</v>
      </c>
      <c r="X503">
        <v>7</v>
      </c>
      <c r="Y503" t="s">
        <v>4468</v>
      </c>
      <c r="Z503" t="s">
        <v>5783</v>
      </c>
      <c r="AA503">
        <v>1.3996724730611541</v>
      </c>
      <c r="AB503" t="str">
        <f>HYPERLINK("Melting_Curves/meltCurve_P25789_PSMA4.pdf", "Melting_Curves/meltCurve_P25789_PSMA4.pdf")</f>
        <v>Melting_Curves/meltCurve_P25789_PSMA4.pdf</v>
      </c>
    </row>
    <row r="504" spans="1:28" x14ac:dyDescent="0.25">
      <c r="A504" t="s">
        <v>508</v>
      </c>
      <c r="B504">
        <v>1</v>
      </c>
      <c r="C504">
        <v>0.84899366548362498</v>
      </c>
      <c r="D504">
        <v>1.4239184150231401</v>
      </c>
      <c r="E504">
        <v>1.89664854665529</v>
      </c>
      <c r="F504">
        <v>1.45750033694236</v>
      </c>
      <c r="G504">
        <v>1.4006693921559801</v>
      </c>
      <c r="H504">
        <v>1.4047127004807001</v>
      </c>
      <c r="I504">
        <v>1.7546834988094699</v>
      </c>
      <c r="J504">
        <v>1.1768273507345299</v>
      </c>
      <c r="K504">
        <v>1.5342108809919599</v>
      </c>
      <c r="L504">
        <v>11420.984280426201</v>
      </c>
      <c r="M504">
        <v>250</v>
      </c>
      <c r="O504">
        <v>45.6810136846265</v>
      </c>
      <c r="P504">
        <v>0.68409165072789802</v>
      </c>
      <c r="Q504">
        <v>1.5</v>
      </c>
      <c r="R504">
        <v>0.59044964175685299</v>
      </c>
      <c r="S504" t="s">
        <v>1830</v>
      </c>
      <c r="T504" t="s">
        <v>2650</v>
      </c>
      <c r="U504" t="s">
        <v>2650</v>
      </c>
      <c r="V504" t="s">
        <v>2650</v>
      </c>
      <c r="W504" t="s">
        <v>3154</v>
      </c>
      <c r="X504">
        <v>1</v>
      </c>
      <c r="Y504" t="s">
        <v>4469</v>
      </c>
      <c r="Z504" t="s">
        <v>5784</v>
      </c>
      <c r="AA504">
        <v>1.405227627338929</v>
      </c>
      <c r="AB504" t="str">
        <f>HYPERLINK("Melting_Curves/meltCurve_P25815_S100P.pdf", "Melting_Curves/meltCurve_P25815_S100P.pdf")</f>
        <v>Melting_Curves/meltCurve_P25815_S100P.pdf</v>
      </c>
    </row>
    <row r="505" spans="1:28" x14ac:dyDescent="0.25">
      <c r="A505" t="s">
        <v>509</v>
      </c>
      <c r="B505">
        <v>1</v>
      </c>
      <c r="C505">
        <v>0.77301951561818405</v>
      </c>
      <c r="D505">
        <v>1.2083183188878599</v>
      </c>
      <c r="E505">
        <v>1.3711950234225301</v>
      </c>
      <c r="F505">
        <v>1.1240161587042701</v>
      </c>
      <c r="G505">
        <v>1.82159045650236</v>
      </c>
      <c r="H505">
        <v>2.6758586682344898</v>
      </c>
      <c r="I505">
        <v>3.2596203083809101</v>
      </c>
      <c r="J505">
        <v>1.95971703301914</v>
      </c>
      <c r="K505">
        <v>2.8998425853926801</v>
      </c>
      <c r="L505">
        <v>1340.82639867787</v>
      </c>
      <c r="M505">
        <v>27.714413735729501</v>
      </c>
      <c r="O505">
        <v>48.130324942823698</v>
      </c>
      <c r="P505">
        <v>7.1978168546768001E-2</v>
      </c>
      <c r="Q505">
        <v>1.5</v>
      </c>
      <c r="R505">
        <v>-1.9000816178427901E-2</v>
      </c>
      <c r="S505" t="s">
        <v>1831</v>
      </c>
      <c r="T505" t="s">
        <v>2650</v>
      </c>
      <c r="U505" t="s">
        <v>2650</v>
      </c>
      <c r="V505" t="s">
        <v>2650</v>
      </c>
      <c r="W505" t="s">
        <v>3155</v>
      </c>
      <c r="X505">
        <v>10</v>
      </c>
      <c r="Y505" t="s">
        <v>4470</v>
      </c>
      <c r="Z505" t="s">
        <v>5785</v>
      </c>
      <c r="AA505">
        <v>1.356769610712502</v>
      </c>
      <c r="AB505" t="str">
        <f>HYPERLINK("Melting_Curves/meltCurve_P26038_MSN.pdf", "Melting_Curves/meltCurve_P26038_MSN.pdf")</f>
        <v>Melting_Curves/meltCurve_P26038_MSN.pdf</v>
      </c>
    </row>
    <row r="506" spans="1:28" x14ac:dyDescent="0.25">
      <c r="A506" t="s">
        <v>510</v>
      </c>
      <c r="B506">
        <v>1</v>
      </c>
      <c r="C506">
        <v>0.78197055174512498</v>
      </c>
      <c r="D506">
        <v>1.0987616751328499</v>
      </c>
      <c r="E506">
        <v>1.30822350710457</v>
      </c>
      <c r="F506">
        <v>1.1548257215758799</v>
      </c>
      <c r="G506">
        <v>1.00383904117606</v>
      </c>
      <c r="H506">
        <v>1.04108242234135</v>
      </c>
      <c r="I506">
        <v>1.16088859757953</v>
      </c>
      <c r="J506">
        <v>0.70387883611507795</v>
      </c>
      <c r="K506">
        <v>0.99836138486387804</v>
      </c>
      <c r="L506">
        <v>1407.07720728864</v>
      </c>
      <c r="M506">
        <v>20.766248804090601</v>
      </c>
      <c r="O506">
        <v>67.138936803426901</v>
      </c>
      <c r="P506">
        <v>-9.7386752532222405E-3</v>
      </c>
      <c r="Q506">
        <v>0.87405987744014502</v>
      </c>
      <c r="R506">
        <v>1.9351214355428598E-2</v>
      </c>
      <c r="S506" t="s">
        <v>1832</v>
      </c>
      <c r="T506" t="s">
        <v>2650</v>
      </c>
      <c r="U506" t="s">
        <v>2650</v>
      </c>
      <c r="V506" t="s">
        <v>2650</v>
      </c>
      <c r="W506" t="s">
        <v>3156</v>
      </c>
      <c r="X506">
        <v>1</v>
      </c>
      <c r="Y506" t="s">
        <v>4471</v>
      </c>
      <c r="Z506" t="s">
        <v>5786</v>
      </c>
      <c r="AA506">
        <v>0.98596383697031797</v>
      </c>
      <c r="AB506" t="str">
        <f>HYPERLINK("Melting_Curves/meltCurve_P26373_RPL13.pdf", "Melting_Curves/meltCurve_P26373_RPL13.pdf")</f>
        <v>Melting_Curves/meltCurve_P26373_RPL13.pdf</v>
      </c>
    </row>
    <row r="507" spans="1:28" x14ac:dyDescent="0.25">
      <c r="A507" t="s">
        <v>511</v>
      </c>
      <c r="B507">
        <v>1</v>
      </c>
      <c r="C507">
        <v>0.81341637472427697</v>
      </c>
      <c r="D507">
        <v>1.1416893732969999</v>
      </c>
      <c r="E507">
        <v>1.44891008174387</v>
      </c>
      <c r="F507">
        <v>1.2029323991176899</v>
      </c>
      <c r="G507">
        <v>1.20740884909822</v>
      </c>
      <c r="H507">
        <v>1.1351693265862199</v>
      </c>
      <c r="I507">
        <v>1.33780978331387</v>
      </c>
      <c r="J507">
        <v>0.98634358375502795</v>
      </c>
      <c r="K507">
        <v>1.27303101076943</v>
      </c>
      <c r="L507">
        <v>11476.862691586</v>
      </c>
      <c r="M507">
        <v>250</v>
      </c>
      <c r="O507">
        <v>45.904513371951197</v>
      </c>
      <c r="P507">
        <v>0.30957216126713499</v>
      </c>
      <c r="Q507">
        <v>1.2273721485251701</v>
      </c>
      <c r="R507">
        <v>0.46266643815182101</v>
      </c>
      <c r="S507" t="s">
        <v>1833</v>
      </c>
      <c r="T507" t="s">
        <v>2650</v>
      </c>
      <c r="U507" t="s">
        <v>2650</v>
      </c>
      <c r="V507" t="s">
        <v>2650</v>
      </c>
      <c r="W507" t="s">
        <v>3157</v>
      </c>
      <c r="X507">
        <v>2</v>
      </c>
      <c r="Y507" t="s">
        <v>4472</v>
      </c>
      <c r="Z507" t="s">
        <v>5787</v>
      </c>
      <c r="AA507">
        <v>1.182580837429736</v>
      </c>
      <c r="AB507" t="str">
        <f>HYPERLINK("Melting_Curves/meltCurve_P26447_S100A4.pdf", "Melting_Curves/meltCurve_P26447_S100A4.pdf")</f>
        <v>Melting_Curves/meltCurve_P26447_S100A4.pdf</v>
      </c>
    </row>
    <row r="508" spans="1:28" x14ac:dyDescent="0.25">
      <c r="A508" t="s">
        <v>512</v>
      </c>
      <c r="B508">
        <v>1</v>
      </c>
      <c r="C508">
        <v>0.67401828153564902</v>
      </c>
      <c r="D508">
        <v>1.00965265082267</v>
      </c>
      <c r="E508">
        <v>1.06695429616088</v>
      </c>
      <c r="F508">
        <v>0.79457404021937805</v>
      </c>
      <c r="G508">
        <v>0.83599268738573995</v>
      </c>
      <c r="H508">
        <v>0.81430347349177301</v>
      </c>
      <c r="I508">
        <v>0.86949908592321801</v>
      </c>
      <c r="J508">
        <v>0.52345155393053</v>
      </c>
      <c r="K508">
        <v>0.75527605118829999</v>
      </c>
      <c r="L508">
        <v>234.148149569558</v>
      </c>
      <c r="M508">
        <v>2.5273631039825402</v>
      </c>
      <c r="O508">
        <v>62.834805570890701</v>
      </c>
      <c r="P508">
        <v>-1.0555411019877701E-2</v>
      </c>
      <c r="Q508">
        <v>0</v>
      </c>
      <c r="R508">
        <v>0.27844187906783002</v>
      </c>
      <c r="S508" t="s">
        <v>1834</v>
      </c>
      <c r="T508" t="s">
        <v>2650</v>
      </c>
      <c r="U508" t="s">
        <v>2650</v>
      </c>
      <c r="V508" t="s">
        <v>2650</v>
      </c>
      <c r="W508" t="s">
        <v>3158</v>
      </c>
      <c r="X508">
        <v>1</v>
      </c>
      <c r="Y508" t="s">
        <v>4473</v>
      </c>
      <c r="Z508" t="s">
        <v>5788</v>
      </c>
      <c r="AA508">
        <v>0.84277161671626488</v>
      </c>
      <c r="AB508" t="str">
        <f>HYPERLINK("Melting_Curves/meltCurve_P26572_MGAT1.pdf", "Melting_Curves/meltCurve_P26572_MGAT1.pdf")</f>
        <v>Melting_Curves/meltCurve_P26572_MGAT1.pdf</v>
      </c>
    </row>
    <row r="509" spans="1:28" x14ac:dyDescent="0.25">
      <c r="A509" t="s">
        <v>513</v>
      </c>
      <c r="B509">
        <v>1</v>
      </c>
      <c r="C509">
        <v>0.97368608207097695</v>
      </c>
      <c r="D509">
        <v>1.05550814309082</v>
      </c>
      <c r="E509">
        <v>1.15564326861532</v>
      </c>
      <c r="F509">
        <v>0.43083706706493102</v>
      </c>
      <c r="G509">
        <v>0.33344712324870202</v>
      </c>
      <c r="H509">
        <v>0.22119692767228499</v>
      </c>
      <c r="I509">
        <v>0.33998648744755</v>
      </c>
      <c r="J509">
        <v>0.21450821420951599</v>
      </c>
      <c r="K509">
        <v>0.235797596188038</v>
      </c>
      <c r="L509">
        <v>13183.3531185995</v>
      </c>
      <c r="M509">
        <v>250</v>
      </c>
      <c r="N509">
        <v>52.896804222464901</v>
      </c>
      <c r="O509">
        <v>52.730037897432503</v>
      </c>
      <c r="P509">
        <v>-0.86645688454671699</v>
      </c>
      <c r="Q509">
        <v>0.26898713128025897</v>
      </c>
      <c r="R509">
        <v>0.96906495263842796</v>
      </c>
      <c r="S509" t="s">
        <v>1835</v>
      </c>
      <c r="T509" t="s">
        <v>2650</v>
      </c>
      <c r="U509" t="s">
        <v>2650</v>
      </c>
      <c r="V509" t="s">
        <v>2650</v>
      </c>
      <c r="W509" t="s">
        <v>3159</v>
      </c>
      <c r="X509">
        <v>2</v>
      </c>
      <c r="Y509" t="s">
        <v>4474</v>
      </c>
      <c r="Z509" t="s">
        <v>5789</v>
      </c>
      <c r="AA509">
        <v>0.5793310632131814</v>
      </c>
      <c r="AB509" t="str">
        <f>HYPERLINK("Melting_Curves/meltCurve_P26641_EEF1G.pdf", "Melting_Curves/meltCurve_P26641_EEF1G.pdf")</f>
        <v>Melting_Curves/meltCurve_P26641_EEF1G.pdf</v>
      </c>
    </row>
    <row r="510" spans="1:28" x14ac:dyDescent="0.25">
      <c r="A510" t="s">
        <v>514</v>
      </c>
      <c r="B510">
        <v>1</v>
      </c>
      <c r="C510">
        <v>0.77853720855956599</v>
      </c>
      <c r="D510">
        <v>1.17847333120409</v>
      </c>
      <c r="E510">
        <v>1.36390929415522</v>
      </c>
      <c r="F510">
        <v>1.03008623442989</v>
      </c>
      <c r="G510">
        <v>1.0580006387735501</v>
      </c>
      <c r="H510">
        <v>1.0328968380709</v>
      </c>
      <c r="I510">
        <v>1.2116895560523799</v>
      </c>
      <c r="J510">
        <v>0.71063557968700097</v>
      </c>
      <c r="K510">
        <v>0.98192270839987195</v>
      </c>
      <c r="L510">
        <v>2386.3791565450401</v>
      </c>
      <c r="M510">
        <v>35.915699285593398</v>
      </c>
      <c r="O510">
        <v>66.238918146915097</v>
      </c>
      <c r="P510">
        <v>-1.6215703040801902E-2</v>
      </c>
      <c r="Q510">
        <v>0.88037462310890202</v>
      </c>
      <c r="R510">
        <v>1.4754608067062001E-2</v>
      </c>
      <c r="S510" t="s">
        <v>1836</v>
      </c>
      <c r="T510" t="s">
        <v>2650</v>
      </c>
      <c r="U510" t="s">
        <v>2650</v>
      </c>
      <c r="V510" t="s">
        <v>2650</v>
      </c>
      <c r="W510" t="s">
        <v>3160</v>
      </c>
      <c r="X510">
        <v>3</v>
      </c>
      <c r="Y510" t="s">
        <v>4475</v>
      </c>
      <c r="Z510" t="s">
        <v>5790</v>
      </c>
      <c r="AA510">
        <v>0.98519668584372933</v>
      </c>
      <c r="AB510" t="str">
        <f>HYPERLINK("Melting_Curves/meltCurve_P26885_FKBP2.pdf", "Melting_Curves/meltCurve_P26885_FKBP2.pdf")</f>
        <v>Melting_Curves/meltCurve_P26885_FKBP2.pdf</v>
      </c>
    </row>
    <row r="511" spans="1:28" x14ac:dyDescent="0.25">
      <c r="A511" t="s">
        <v>515</v>
      </c>
      <c r="B511">
        <v>1</v>
      </c>
      <c r="C511">
        <v>0.81909733450362598</v>
      </c>
      <c r="D511">
        <v>1.3418025592460801</v>
      </c>
      <c r="E511">
        <v>1.64646371321661</v>
      </c>
      <c r="F511">
        <v>1.31898184505936</v>
      </c>
      <c r="G511">
        <v>1.4526262299625801</v>
      </c>
      <c r="H511">
        <v>1.3293296992654899</v>
      </c>
      <c r="I511">
        <v>1.76523305769853</v>
      </c>
      <c r="J511">
        <v>1.16981567884695</v>
      </c>
      <c r="K511">
        <v>1.5286182842888201</v>
      </c>
      <c r="L511">
        <v>11450.6544283576</v>
      </c>
      <c r="M511">
        <v>250</v>
      </c>
      <c r="O511">
        <v>45.799686422755798</v>
      </c>
      <c r="P511">
        <v>0.62599237918939399</v>
      </c>
      <c r="Q511">
        <v>1.4587240764540801</v>
      </c>
      <c r="R511">
        <v>0.61240751061190701</v>
      </c>
      <c r="S511" t="s">
        <v>1837</v>
      </c>
      <c r="T511" t="s">
        <v>2650</v>
      </c>
      <c r="U511" t="s">
        <v>2650</v>
      </c>
      <c r="V511" t="s">
        <v>2650</v>
      </c>
      <c r="W511" t="s">
        <v>3161</v>
      </c>
      <c r="X511">
        <v>2</v>
      </c>
      <c r="Y511" t="s">
        <v>4476</v>
      </c>
      <c r="Z511" t="s">
        <v>5791</v>
      </c>
      <c r="AA511">
        <v>1.369960521170805</v>
      </c>
      <c r="AB511" t="str">
        <f>HYPERLINK("Melting_Curves/meltCurve_P27169_PON1.pdf", "Melting_Curves/meltCurve_P27169_PON1.pdf")</f>
        <v>Melting_Curves/meltCurve_P27169_PON1.pdf</v>
      </c>
    </row>
    <row r="512" spans="1:28" x14ac:dyDescent="0.25">
      <c r="A512" t="s">
        <v>516</v>
      </c>
      <c r="B512">
        <v>1</v>
      </c>
      <c r="C512">
        <v>1.0239626743975401</v>
      </c>
      <c r="D512">
        <v>0.96815546294618604</v>
      </c>
      <c r="E512">
        <v>1.39499909403878</v>
      </c>
      <c r="F512">
        <v>1.0436220329769901</v>
      </c>
      <c r="G512">
        <v>1.3598477985142201</v>
      </c>
      <c r="H512">
        <v>1.2914024279760801</v>
      </c>
      <c r="I512">
        <v>1.4087244065954001</v>
      </c>
      <c r="J512">
        <v>1.1964123935495601</v>
      </c>
      <c r="K512">
        <v>1.42475992027541</v>
      </c>
      <c r="L512">
        <v>896.19754533109301</v>
      </c>
      <c r="M512">
        <v>18.225792755491099</v>
      </c>
      <c r="O512">
        <v>48.591440273895998</v>
      </c>
      <c r="P512">
        <v>3.0851873571516999E-2</v>
      </c>
      <c r="Q512">
        <v>1.32899892365795</v>
      </c>
      <c r="R512">
        <v>0.56252004889464402</v>
      </c>
      <c r="S512" t="s">
        <v>1838</v>
      </c>
      <c r="T512" t="s">
        <v>2650</v>
      </c>
      <c r="U512" t="s">
        <v>2650</v>
      </c>
      <c r="V512" t="s">
        <v>2650</v>
      </c>
      <c r="W512" t="s">
        <v>3162</v>
      </c>
      <c r="X512">
        <v>1</v>
      </c>
      <c r="Y512" t="s">
        <v>4477</v>
      </c>
      <c r="Z512" t="s">
        <v>5792</v>
      </c>
      <c r="AA512">
        <v>1.222871445169502</v>
      </c>
      <c r="AB512" t="str">
        <f>HYPERLINK("Melting_Curves/meltCurve_P27216_ANXA13.pdf", "Melting_Curves/meltCurve_P27216_ANXA13.pdf")</f>
        <v>Melting_Curves/meltCurve_P27216_ANXA13.pdf</v>
      </c>
    </row>
    <row r="513" spans="1:28" x14ac:dyDescent="0.25">
      <c r="A513" t="s">
        <v>517</v>
      </c>
      <c r="B513">
        <v>1</v>
      </c>
      <c r="C513">
        <v>0.77455062252291895</v>
      </c>
      <c r="D513">
        <v>1.0655950998839001</v>
      </c>
      <c r="E513">
        <v>1.1531686616758099</v>
      </c>
      <c r="F513">
        <v>0.96713239120861505</v>
      </c>
      <c r="G513">
        <v>1.0330477601185</v>
      </c>
      <c r="H513">
        <v>0.89042795948596798</v>
      </c>
      <c r="I513">
        <v>1.02710276632371</v>
      </c>
      <c r="J513">
        <v>0.64732375195163905</v>
      </c>
      <c r="K513">
        <v>0.83860442771928401</v>
      </c>
      <c r="L513">
        <v>15000</v>
      </c>
      <c r="M513">
        <v>229.725218769767</v>
      </c>
      <c r="O513">
        <v>65.290450949194906</v>
      </c>
      <c r="P513">
        <v>-0.226177159668042</v>
      </c>
      <c r="Q513">
        <v>0.742871785972962</v>
      </c>
      <c r="R513">
        <v>0.460036131847255</v>
      </c>
      <c r="S513" t="s">
        <v>1839</v>
      </c>
      <c r="T513" t="s">
        <v>2650</v>
      </c>
      <c r="U513" t="s">
        <v>2650</v>
      </c>
      <c r="V513" t="s">
        <v>2650</v>
      </c>
      <c r="W513" t="s">
        <v>3163</v>
      </c>
      <c r="X513">
        <v>2</v>
      </c>
      <c r="Y513" t="s">
        <v>4478</v>
      </c>
      <c r="Z513" t="s">
        <v>5793</v>
      </c>
      <c r="AA513">
        <v>0.95971204789565145</v>
      </c>
      <c r="AB513" t="str">
        <f>HYPERLINK("Melting_Curves/meltCurve_P27469_G0S2.pdf", "Melting_Curves/meltCurve_P27469_G0S2.pdf")</f>
        <v>Melting_Curves/meltCurve_P27469_G0S2.pdf</v>
      </c>
    </row>
    <row r="514" spans="1:28" x14ac:dyDescent="0.25">
      <c r="A514" t="s">
        <v>518</v>
      </c>
      <c r="B514">
        <v>1</v>
      </c>
      <c r="C514">
        <v>0.84696814931748499</v>
      </c>
      <c r="D514">
        <v>1.3344785959699099</v>
      </c>
      <c r="E514">
        <v>1.84255734051444</v>
      </c>
      <c r="F514">
        <v>1.5407187296870599</v>
      </c>
      <c r="G514">
        <v>2.1727179868139999</v>
      </c>
      <c r="H514">
        <v>2.6618070387222601</v>
      </c>
      <c r="I514">
        <v>4.1846968149317503</v>
      </c>
      <c r="J514">
        <v>3.0342650199647099</v>
      </c>
      <c r="K514">
        <v>4.0522332621413302</v>
      </c>
      <c r="L514">
        <v>11467.6402794651</v>
      </c>
      <c r="M514">
        <v>250</v>
      </c>
      <c r="O514">
        <v>45.867626033192302</v>
      </c>
      <c r="P514">
        <v>0.68130842953967496</v>
      </c>
      <c r="Q514">
        <v>1.5</v>
      </c>
      <c r="R514">
        <v>-0.40595339361502197</v>
      </c>
      <c r="S514" t="s">
        <v>1840</v>
      </c>
      <c r="T514" t="s">
        <v>2650</v>
      </c>
      <c r="U514" t="s">
        <v>2650</v>
      </c>
      <c r="V514" t="s">
        <v>2650</v>
      </c>
      <c r="W514" t="s">
        <v>3164</v>
      </c>
      <c r="X514">
        <v>13</v>
      </c>
      <c r="Y514" t="s">
        <v>4479</v>
      </c>
      <c r="Z514" t="s">
        <v>5794</v>
      </c>
      <c r="AA514">
        <v>1.402117063641898</v>
      </c>
      <c r="AB514" t="str">
        <f>HYPERLINK("Melting_Curves/meltCurve_P27487_DPP4.pdf", "Melting_Curves/meltCurve_P27487_DPP4.pdf")</f>
        <v>Melting_Curves/meltCurve_P27487_DPP4.pdf</v>
      </c>
    </row>
    <row r="515" spans="1:28" x14ac:dyDescent="0.25">
      <c r="A515" t="s">
        <v>519</v>
      </c>
      <c r="B515">
        <v>1</v>
      </c>
      <c r="C515">
        <v>0.85248751721164395</v>
      </c>
      <c r="D515">
        <v>1.0723793098652299</v>
      </c>
      <c r="E515">
        <v>1.0785546391465799</v>
      </c>
      <c r="F515">
        <v>0.91310032128402396</v>
      </c>
      <c r="G515">
        <v>0.96972141476237494</v>
      </c>
      <c r="H515">
        <v>0.79479547698855302</v>
      </c>
      <c r="I515">
        <v>0.99461744947774</v>
      </c>
      <c r="J515">
        <v>0.54867244328850195</v>
      </c>
      <c r="K515">
        <v>0.84428156163507195</v>
      </c>
      <c r="L515">
        <v>1098.2138329894501</v>
      </c>
      <c r="M515">
        <v>17.8838075068705</v>
      </c>
      <c r="O515">
        <v>60.655918179918999</v>
      </c>
      <c r="P515">
        <v>-2.0764610216912199E-2</v>
      </c>
      <c r="Q515">
        <v>0.718307766298107</v>
      </c>
      <c r="R515">
        <v>0.38841654900887501</v>
      </c>
      <c r="S515" t="s">
        <v>1841</v>
      </c>
      <c r="T515" t="s">
        <v>2650</v>
      </c>
      <c r="U515" t="s">
        <v>2650</v>
      </c>
      <c r="V515" t="s">
        <v>2650</v>
      </c>
      <c r="W515" t="s">
        <v>3165</v>
      </c>
      <c r="X515">
        <v>1</v>
      </c>
      <c r="Y515" t="s">
        <v>4480</v>
      </c>
      <c r="Z515" t="s">
        <v>5795</v>
      </c>
      <c r="AA515">
        <v>0.92038627367087111</v>
      </c>
      <c r="AB515" t="str">
        <f>HYPERLINK("Melting_Curves/meltCurve_P27658_COL8A1.pdf", "Melting_Curves/meltCurve_P27658_COL8A1.pdf")</f>
        <v>Melting_Curves/meltCurve_P27658_COL8A1.pdf</v>
      </c>
    </row>
    <row r="516" spans="1:28" x14ac:dyDescent="0.25">
      <c r="A516" t="s">
        <v>520</v>
      </c>
      <c r="B516">
        <v>1</v>
      </c>
      <c r="C516">
        <v>0.61712948517940702</v>
      </c>
      <c r="D516">
        <v>0.94929797191887699</v>
      </c>
      <c r="E516">
        <v>1.19781591263651</v>
      </c>
      <c r="F516">
        <v>0.84767550702028105</v>
      </c>
      <c r="G516">
        <v>0.88926677067082704</v>
      </c>
      <c r="H516">
        <v>0.81154446177847095</v>
      </c>
      <c r="I516">
        <v>0.99485179407176305</v>
      </c>
      <c r="J516">
        <v>0.63887675507020303</v>
      </c>
      <c r="K516">
        <v>1.0039001560062399</v>
      </c>
      <c r="L516">
        <v>41.144806760871298</v>
      </c>
      <c r="M516">
        <v>1.0000000000000001E-5</v>
      </c>
      <c r="Q516">
        <v>0.66893609892222605</v>
      </c>
      <c r="R516">
        <v>3.1157929447254199E-3</v>
      </c>
      <c r="S516" t="s">
        <v>1842</v>
      </c>
      <c r="T516" t="s">
        <v>2650</v>
      </c>
      <c r="U516" t="s">
        <v>2650</v>
      </c>
      <c r="V516" t="s">
        <v>2650</v>
      </c>
      <c r="W516" t="s">
        <v>3166</v>
      </c>
      <c r="X516">
        <v>2</v>
      </c>
      <c r="Y516" t="s">
        <v>4481</v>
      </c>
      <c r="Z516" t="s">
        <v>5796</v>
      </c>
      <c r="AA516">
        <v>0.89484041043937035</v>
      </c>
      <c r="AB516" t="str">
        <f>HYPERLINK("Melting_Curves/meltCurve_P27797_CALR.pdf", "Melting_Curves/meltCurve_P27797_CALR.pdf")</f>
        <v>Melting_Curves/meltCurve_P27797_CALR.pdf</v>
      </c>
    </row>
    <row r="517" spans="1:28" x14ac:dyDescent="0.25">
      <c r="A517" t="s">
        <v>521</v>
      </c>
      <c r="B517">
        <v>1</v>
      </c>
      <c r="C517">
        <v>0.92817533667810903</v>
      </c>
      <c r="D517">
        <v>1.0454713493530501</v>
      </c>
      <c r="E517">
        <v>1.1832585159757101</v>
      </c>
      <c r="F517">
        <v>0.98373382624768901</v>
      </c>
      <c r="G517">
        <v>1.0786374438869799</v>
      </c>
      <c r="H517">
        <v>1.1685767097966699</v>
      </c>
      <c r="I517">
        <v>1.3166622656456299</v>
      </c>
      <c r="J517">
        <v>1.0576181674148399</v>
      </c>
      <c r="K517">
        <v>1.3447055716926299</v>
      </c>
      <c r="L517">
        <v>420.47254747204698</v>
      </c>
      <c r="M517">
        <v>6.1399112593563103</v>
      </c>
      <c r="O517">
        <v>62.285324003810203</v>
      </c>
      <c r="P517">
        <v>1.23588933669931E-2</v>
      </c>
      <c r="Q517">
        <v>1.5</v>
      </c>
      <c r="R517">
        <v>0.50846349972335103</v>
      </c>
      <c r="S517" t="s">
        <v>1843</v>
      </c>
      <c r="T517" t="s">
        <v>2650</v>
      </c>
      <c r="U517" t="s">
        <v>2650</v>
      </c>
      <c r="V517" t="s">
        <v>2650</v>
      </c>
      <c r="W517" t="s">
        <v>3167</v>
      </c>
      <c r="X517">
        <v>1</v>
      </c>
      <c r="Y517" t="s">
        <v>4482</v>
      </c>
      <c r="Z517" t="s">
        <v>5797</v>
      </c>
      <c r="AA517">
        <v>1.1078198405950319</v>
      </c>
      <c r="AB517" t="str">
        <f>HYPERLINK("Melting_Curves/meltCurve_P27824_3_CANX.pdf", "Melting_Curves/meltCurve_P27824_3_CANX.pdf")</f>
        <v>Melting_Curves/meltCurve_P27824_3_CANX.pdf</v>
      </c>
    </row>
    <row r="518" spans="1:28" x14ac:dyDescent="0.25">
      <c r="A518" t="s">
        <v>522</v>
      </c>
      <c r="B518">
        <v>1</v>
      </c>
      <c r="C518">
        <v>0.78740112672850404</v>
      </c>
      <c r="D518">
        <v>1.1056734763557701</v>
      </c>
      <c r="E518">
        <v>1.42303533830308</v>
      </c>
      <c r="F518">
        <v>1.1377681670744899</v>
      </c>
      <c r="G518">
        <v>1.1548398110738101</v>
      </c>
      <c r="H518">
        <v>1.1649689865134001</v>
      </c>
      <c r="I518">
        <v>1.3454162635861799</v>
      </c>
      <c r="J518">
        <v>0.85210265748591596</v>
      </c>
      <c r="K518">
        <v>1.30802936322768</v>
      </c>
      <c r="L518">
        <v>11493.800408134501</v>
      </c>
      <c r="M518">
        <v>250</v>
      </c>
      <c r="O518">
        <v>45.9722595461674</v>
      </c>
      <c r="P518">
        <v>0.26921526151134401</v>
      </c>
      <c r="Q518">
        <v>1.19802294169073</v>
      </c>
      <c r="R518">
        <v>0.32285886760691701</v>
      </c>
      <c r="S518" t="s">
        <v>1844</v>
      </c>
      <c r="T518" t="s">
        <v>2650</v>
      </c>
      <c r="U518" t="s">
        <v>2650</v>
      </c>
      <c r="V518" t="s">
        <v>2650</v>
      </c>
      <c r="W518" t="s">
        <v>3168</v>
      </c>
      <c r="X518">
        <v>2</v>
      </c>
      <c r="Y518" t="s">
        <v>4483</v>
      </c>
      <c r="Z518" t="s">
        <v>5798</v>
      </c>
      <c r="AA518">
        <v>1.1585660639095079</v>
      </c>
      <c r="AB518" t="str">
        <f>HYPERLINK("Melting_Curves/meltCurve_P28062_2_PSMB8.pdf", "Melting_Curves/meltCurve_P28062_2_PSMB8.pdf")</f>
        <v>Melting_Curves/meltCurve_P28062_2_PSMB8.pdf</v>
      </c>
    </row>
    <row r="519" spans="1:28" x14ac:dyDescent="0.25">
      <c r="A519" t="s">
        <v>523</v>
      </c>
      <c r="B519">
        <v>1</v>
      </c>
      <c r="C519">
        <v>0.94234349037392395</v>
      </c>
      <c r="D519">
        <v>1.31004585035543</v>
      </c>
      <c r="E519">
        <v>1.74456229776495</v>
      </c>
      <c r="F519">
        <v>1.4169883687517999</v>
      </c>
      <c r="G519">
        <v>1.7704233974238801</v>
      </c>
      <c r="H519">
        <v>2.2190572567245099</v>
      </c>
      <c r="I519">
        <v>4.0650650275476901</v>
      </c>
      <c r="J519">
        <v>3.5157352922804002</v>
      </c>
      <c r="K519">
        <v>4.6783603812950503</v>
      </c>
      <c r="L519">
        <v>10721.580728627099</v>
      </c>
      <c r="M519">
        <v>233.56778431641001</v>
      </c>
      <c r="O519">
        <v>45.900143146733903</v>
      </c>
      <c r="P519">
        <v>0.63607586364389701</v>
      </c>
      <c r="Q519">
        <v>1.5</v>
      </c>
      <c r="R519">
        <v>-0.327260440846806</v>
      </c>
      <c r="S519" t="s">
        <v>1845</v>
      </c>
      <c r="T519" t="s">
        <v>2650</v>
      </c>
      <c r="U519" t="s">
        <v>2650</v>
      </c>
      <c r="V519" t="s">
        <v>2650</v>
      </c>
      <c r="W519" t="s">
        <v>3169</v>
      </c>
      <c r="X519">
        <v>1</v>
      </c>
      <c r="Y519" t="s">
        <v>4484</v>
      </c>
      <c r="Z519" t="s">
        <v>5799</v>
      </c>
      <c r="AA519">
        <v>1.401562046343531</v>
      </c>
      <c r="AB519" t="str">
        <f>HYPERLINK("Melting_Curves/meltCurve_P28065_2_PSMB9.pdf", "Melting_Curves/meltCurve_P28065_2_PSMB9.pdf")</f>
        <v>Melting_Curves/meltCurve_P28065_2_PSMB9.pdf</v>
      </c>
    </row>
    <row r="520" spans="1:28" x14ac:dyDescent="0.25">
      <c r="A520" t="s">
        <v>524</v>
      </c>
      <c r="B520">
        <v>1</v>
      </c>
      <c r="C520">
        <v>0.822152466367713</v>
      </c>
      <c r="D520">
        <v>1.1942202291978099</v>
      </c>
      <c r="E520">
        <v>1.48579970104634</v>
      </c>
      <c r="F520">
        <v>1.1841554559043299</v>
      </c>
      <c r="G520">
        <v>1.4277030393622301</v>
      </c>
      <c r="H520">
        <v>1.7080219232685601</v>
      </c>
      <c r="I520">
        <v>2.4873941205779801</v>
      </c>
      <c r="J520">
        <v>1.8406576980567999</v>
      </c>
      <c r="K520">
        <v>2.5654210264075701</v>
      </c>
      <c r="L520">
        <v>11520.8781342208</v>
      </c>
      <c r="M520">
        <v>250</v>
      </c>
      <c r="O520">
        <v>46.0805636376775</v>
      </c>
      <c r="P520">
        <v>0.67816011056709302</v>
      </c>
      <c r="Q520">
        <v>1.5</v>
      </c>
      <c r="R520">
        <v>0.230348324704132</v>
      </c>
      <c r="S520" t="s">
        <v>1846</v>
      </c>
      <c r="T520" t="s">
        <v>2650</v>
      </c>
      <c r="U520" t="s">
        <v>2650</v>
      </c>
      <c r="V520" t="s">
        <v>2650</v>
      </c>
      <c r="W520" t="s">
        <v>3170</v>
      </c>
      <c r="X520">
        <v>5</v>
      </c>
      <c r="Y520" t="s">
        <v>4485</v>
      </c>
      <c r="Z520" t="s">
        <v>5800</v>
      </c>
      <c r="AA520">
        <v>1.3985676864616381</v>
      </c>
      <c r="AB520" t="str">
        <f>HYPERLINK("Melting_Curves/meltCurve_P28066_PSMA5.pdf", "Melting_Curves/meltCurve_P28066_PSMA5.pdf")</f>
        <v>Melting_Curves/meltCurve_P28066_PSMA5.pdf</v>
      </c>
    </row>
    <row r="521" spans="1:28" x14ac:dyDescent="0.25">
      <c r="A521" t="s">
        <v>525</v>
      </c>
      <c r="B521">
        <v>1</v>
      </c>
      <c r="C521">
        <v>0.655174296896332</v>
      </c>
      <c r="D521">
        <v>1.3137344133976501</v>
      </c>
      <c r="E521">
        <v>1.6626922726858999</v>
      </c>
      <c r="F521">
        <v>1.1925002275416401</v>
      </c>
      <c r="G521">
        <v>1.3280240283972</v>
      </c>
      <c r="H521">
        <v>1.8145990716301099</v>
      </c>
      <c r="I521">
        <v>3.4988622917994001</v>
      </c>
      <c r="J521">
        <v>3.2023300263948302</v>
      </c>
      <c r="K521">
        <v>4.4168562847001001</v>
      </c>
      <c r="L521">
        <v>11476.016844760799</v>
      </c>
      <c r="M521">
        <v>250</v>
      </c>
      <c r="O521">
        <v>45.901130129164201</v>
      </c>
      <c r="P521">
        <v>0.68081112942039401</v>
      </c>
      <c r="Q521">
        <v>1.5</v>
      </c>
      <c r="R521">
        <v>-0.121301110208357</v>
      </c>
      <c r="S521" t="s">
        <v>1847</v>
      </c>
      <c r="T521" t="s">
        <v>2650</v>
      </c>
      <c r="U521" t="s">
        <v>2650</v>
      </c>
      <c r="V521" t="s">
        <v>2650</v>
      </c>
      <c r="W521" t="s">
        <v>3171</v>
      </c>
      <c r="X521">
        <v>3</v>
      </c>
      <c r="Y521" t="s">
        <v>4486</v>
      </c>
      <c r="Z521" t="s">
        <v>5801</v>
      </c>
      <c r="AA521">
        <v>1.401558596554042</v>
      </c>
      <c r="AB521" t="str">
        <f>HYPERLINK("Melting_Curves/meltCurve_P28070_PSMB4.pdf", "Melting_Curves/meltCurve_P28070_PSMB4.pdf")</f>
        <v>Melting_Curves/meltCurve_P28070_PSMB4.pdf</v>
      </c>
    </row>
    <row r="522" spans="1:28" x14ac:dyDescent="0.25">
      <c r="A522" t="s">
        <v>526</v>
      </c>
      <c r="B522">
        <v>1</v>
      </c>
      <c r="C522">
        <v>0.76536066470266595</v>
      </c>
      <c r="D522">
        <v>1.1903787464497999</v>
      </c>
      <c r="E522">
        <v>1.5507259159948501</v>
      </c>
      <c r="F522">
        <v>1.3287349833295099</v>
      </c>
      <c r="G522">
        <v>1.66540829467074</v>
      </c>
      <c r="H522">
        <v>1.8517473141990199</v>
      </c>
      <c r="I522">
        <v>2.52544675145977</v>
      </c>
      <c r="J522">
        <v>1.7117328488013099</v>
      </c>
      <c r="K522">
        <v>2.3289290313475801</v>
      </c>
      <c r="L522">
        <v>11522.3713809439</v>
      </c>
      <c r="M522">
        <v>250</v>
      </c>
      <c r="O522">
        <v>46.086533729816303</v>
      </c>
      <c r="P522">
        <v>0.67807222408483803</v>
      </c>
      <c r="Q522">
        <v>1.5</v>
      </c>
      <c r="R522">
        <v>0.26959208120174299</v>
      </c>
      <c r="S522" t="s">
        <v>1848</v>
      </c>
      <c r="T522" t="s">
        <v>2650</v>
      </c>
      <c r="U522" t="s">
        <v>2650</v>
      </c>
      <c r="V522" t="s">
        <v>2650</v>
      </c>
      <c r="W522" t="s">
        <v>3172</v>
      </c>
      <c r="X522">
        <v>3</v>
      </c>
      <c r="Y522" t="s">
        <v>4487</v>
      </c>
      <c r="Z522" t="s">
        <v>5802</v>
      </c>
      <c r="AA522">
        <v>1.3984681314388481</v>
      </c>
      <c r="AB522" t="str">
        <f>HYPERLINK("Melting_Curves/meltCurve_P28072_PSMB6.pdf", "Melting_Curves/meltCurve_P28072_PSMB6.pdf")</f>
        <v>Melting_Curves/meltCurve_P28072_PSMB6.pdf</v>
      </c>
    </row>
    <row r="523" spans="1:28" x14ac:dyDescent="0.25">
      <c r="A523" t="s">
        <v>527</v>
      </c>
      <c r="B523">
        <v>1</v>
      </c>
      <c r="C523">
        <v>0.836109854055889</v>
      </c>
      <c r="D523">
        <v>1.04853490213825</v>
      </c>
      <c r="E523">
        <v>1.26356205453106</v>
      </c>
      <c r="F523">
        <v>1.16072236678357</v>
      </c>
      <c r="G523">
        <v>1.0296837877588001</v>
      </c>
      <c r="H523">
        <v>0.91905192895123899</v>
      </c>
      <c r="I523">
        <v>1.5116246181694799</v>
      </c>
      <c r="J523">
        <v>0.89089546328770197</v>
      </c>
      <c r="K523">
        <v>0.99343817173888405</v>
      </c>
      <c r="L523">
        <v>11510.755229062501</v>
      </c>
      <c r="M523">
        <v>250</v>
      </c>
      <c r="O523">
        <v>46.040074256310199</v>
      </c>
      <c r="P523">
        <v>0.149128310263834</v>
      </c>
      <c r="Q523">
        <v>1.1098540560293499</v>
      </c>
      <c r="R523">
        <v>0.12153494744337601</v>
      </c>
      <c r="S523" t="s">
        <v>1849</v>
      </c>
      <c r="T523" t="s">
        <v>2650</v>
      </c>
      <c r="U523" t="s">
        <v>2650</v>
      </c>
      <c r="V523" t="s">
        <v>2650</v>
      </c>
      <c r="W523" t="s">
        <v>3173</v>
      </c>
      <c r="X523">
        <v>1</v>
      </c>
      <c r="Y523" t="s">
        <v>4488</v>
      </c>
      <c r="Z523" t="s">
        <v>5803</v>
      </c>
      <c r="AA523">
        <v>1.0877168340186161</v>
      </c>
      <c r="AB523" t="str">
        <f>HYPERLINK("Melting_Curves/meltCurve_P28290_2_SSFA2.pdf", "Melting_Curves/meltCurve_P28290_2_SSFA2.pdf")</f>
        <v>Melting_Curves/meltCurve_P28290_2_SSFA2.pdf</v>
      </c>
    </row>
    <row r="524" spans="1:28" x14ac:dyDescent="0.25">
      <c r="A524" t="s">
        <v>528</v>
      </c>
      <c r="B524">
        <v>1</v>
      </c>
      <c r="C524">
        <v>0.76018057858853905</v>
      </c>
      <c r="D524">
        <v>1.0821202628831199</v>
      </c>
      <c r="E524">
        <v>1.2681653461089599</v>
      </c>
      <c r="F524">
        <v>0.943860942202567</v>
      </c>
      <c r="G524">
        <v>0.99391929242675503</v>
      </c>
      <c r="H524">
        <v>0.84564830170136995</v>
      </c>
      <c r="I524">
        <v>1.0382961734537199</v>
      </c>
      <c r="J524">
        <v>0.61737608255021204</v>
      </c>
      <c r="K524">
        <v>0.86438179473005305</v>
      </c>
      <c r="L524">
        <v>1669.10277274083</v>
      </c>
      <c r="M524">
        <v>26.215120741007599</v>
      </c>
      <c r="O524">
        <v>63.302450880467397</v>
      </c>
      <c r="P524">
        <v>-2.5426248382912599E-2</v>
      </c>
      <c r="Q524">
        <v>0.75441263859456098</v>
      </c>
      <c r="R524">
        <v>0.25146959982407802</v>
      </c>
      <c r="S524" t="s">
        <v>1850</v>
      </c>
      <c r="T524" t="s">
        <v>2650</v>
      </c>
      <c r="U524" t="s">
        <v>2650</v>
      </c>
      <c r="V524" t="s">
        <v>2650</v>
      </c>
      <c r="W524" t="s">
        <v>3174</v>
      </c>
      <c r="X524">
        <v>12</v>
      </c>
      <c r="Y524" t="s">
        <v>4489</v>
      </c>
      <c r="Z524" t="s">
        <v>5804</v>
      </c>
      <c r="AA524">
        <v>0.9483658690587855</v>
      </c>
      <c r="AB524" t="str">
        <f>HYPERLINK("Melting_Curves/meltCurve_P28799_GRN.pdf", "Melting_Curves/meltCurve_P28799_GRN.pdf")</f>
        <v>Melting_Curves/meltCurve_P28799_GRN.pdf</v>
      </c>
    </row>
    <row r="525" spans="1:28" x14ac:dyDescent="0.25">
      <c r="A525" t="s">
        <v>529</v>
      </c>
      <c r="B525">
        <v>1</v>
      </c>
      <c r="C525">
        <v>0.80937607721475402</v>
      </c>
      <c r="D525">
        <v>1.17703665402735</v>
      </c>
      <c r="E525">
        <v>1.4685740549235899</v>
      </c>
      <c r="F525">
        <v>1.1400379179593201</v>
      </c>
      <c r="G525">
        <v>1.1920602091232899</v>
      </c>
      <c r="H525">
        <v>1.1679593243709101</v>
      </c>
      <c r="I525">
        <v>1.54481213374698</v>
      </c>
      <c r="J525">
        <v>0.89595541767206699</v>
      </c>
      <c r="K525">
        <v>1.2623233367804201</v>
      </c>
      <c r="L525">
        <v>11451.572920430899</v>
      </c>
      <c r="M525">
        <v>250</v>
      </c>
      <c r="O525">
        <v>45.803360162576197</v>
      </c>
      <c r="P525">
        <v>0.32587331840872702</v>
      </c>
      <c r="Q525">
        <v>1.2388174883960199</v>
      </c>
      <c r="R525">
        <v>0.32871834440048098</v>
      </c>
      <c r="S525" t="s">
        <v>1851</v>
      </c>
      <c r="T525" t="s">
        <v>2650</v>
      </c>
      <c r="U525" t="s">
        <v>2650</v>
      </c>
      <c r="V525" t="s">
        <v>2650</v>
      </c>
      <c r="W525" t="s">
        <v>3175</v>
      </c>
      <c r="X525">
        <v>5</v>
      </c>
      <c r="Y525" t="s">
        <v>4490</v>
      </c>
      <c r="Z525" t="s">
        <v>5805</v>
      </c>
      <c r="AA525">
        <v>1.192576823474244</v>
      </c>
      <c r="AB525" t="str">
        <f>HYPERLINK("Melting_Curves/meltCurve_P28827_PTPRM.pdf", "Melting_Curves/meltCurve_P28827_PTPRM.pdf")</f>
        <v>Melting_Curves/meltCurve_P28827_PTPRM.pdf</v>
      </c>
    </row>
    <row r="526" spans="1:28" x14ac:dyDescent="0.25">
      <c r="A526" t="s">
        <v>530</v>
      </c>
      <c r="B526">
        <v>1</v>
      </c>
      <c r="C526">
        <v>0.71393694105359395</v>
      </c>
      <c r="D526">
        <v>1.04629545009465</v>
      </c>
      <c r="E526">
        <v>1.3251517723088999</v>
      </c>
      <c r="F526">
        <v>1.12250146876428</v>
      </c>
      <c r="G526">
        <v>1.1971930282655501</v>
      </c>
      <c r="H526">
        <v>1.0869769567204099</v>
      </c>
      <c r="I526">
        <v>1.4533585743194699</v>
      </c>
      <c r="J526">
        <v>1.0759710163848799</v>
      </c>
      <c r="K526">
        <v>1.3960441282067999</v>
      </c>
      <c r="L526">
        <v>11565.059186697499</v>
      </c>
      <c r="M526">
        <v>250</v>
      </c>
      <c r="O526">
        <v>46.257276411019603</v>
      </c>
      <c r="P526">
        <v>0.31987186519769001</v>
      </c>
      <c r="Q526">
        <v>1.23674242021123</v>
      </c>
      <c r="R526">
        <v>0.46262123329717397</v>
      </c>
      <c r="S526" t="s">
        <v>1852</v>
      </c>
      <c r="T526" t="s">
        <v>2650</v>
      </c>
      <c r="U526" t="s">
        <v>2650</v>
      </c>
      <c r="V526" t="s">
        <v>2650</v>
      </c>
      <c r="W526" t="s">
        <v>3176</v>
      </c>
      <c r="X526">
        <v>5</v>
      </c>
      <c r="Y526" t="s">
        <v>4491</v>
      </c>
      <c r="Z526" t="s">
        <v>5806</v>
      </c>
      <c r="AA526">
        <v>1.1873210800911509</v>
      </c>
      <c r="AB526" t="str">
        <f>HYPERLINK("Melting_Curves/meltCurve_P28838_2_LAP3.pdf", "Melting_Curves/meltCurve_P28838_2_LAP3.pdf")</f>
        <v>Melting_Curves/meltCurve_P28838_2_LAP3.pdf</v>
      </c>
    </row>
    <row r="527" spans="1:28" x14ac:dyDescent="0.25">
      <c r="A527" t="s">
        <v>531</v>
      </c>
      <c r="B527">
        <v>1</v>
      </c>
      <c r="C527">
        <v>0.78942403728775901</v>
      </c>
      <c r="D527">
        <v>1.13344800799023</v>
      </c>
      <c r="E527">
        <v>1.3339252025302399</v>
      </c>
      <c r="F527">
        <v>0.99766951503717705</v>
      </c>
      <c r="G527">
        <v>1.1069248696038201</v>
      </c>
      <c r="H527">
        <v>0.97691710132060805</v>
      </c>
      <c r="I527">
        <v>1.11119742536899</v>
      </c>
      <c r="J527">
        <v>0.72805459993341504</v>
      </c>
      <c r="K527">
        <v>1.0211963156142501</v>
      </c>
      <c r="L527">
        <v>15000</v>
      </c>
      <c r="M527">
        <v>229.26721321031101</v>
      </c>
      <c r="O527">
        <v>65.420881378280598</v>
      </c>
      <c r="P527">
        <v>-0.10950383482962001</v>
      </c>
      <c r="Q527">
        <v>0.87501334992247204</v>
      </c>
      <c r="R527">
        <v>0.10114295075915999</v>
      </c>
      <c r="S527" t="s">
        <v>1853</v>
      </c>
      <c r="T527" t="s">
        <v>2650</v>
      </c>
      <c r="U527" t="s">
        <v>2650</v>
      </c>
      <c r="V527" t="s">
        <v>2650</v>
      </c>
      <c r="W527" t="s">
        <v>3177</v>
      </c>
      <c r="X527">
        <v>21</v>
      </c>
      <c r="Y527" t="s">
        <v>4492</v>
      </c>
      <c r="Z527" t="s">
        <v>5807</v>
      </c>
      <c r="AA527">
        <v>0.98096009967412034</v>
      </c>
      <c r="AB527" t="str">
        <f>HYPERLINK("Melting_Curves/meltCurve_P28907_CD38.pdf", "Melting_Curves/meltCurve_P28907_CD38.pdf")</f>
        <v>Melting_Curves/meltCurve_P28907_CD38.pdf</v>
      </c>
    </row>
    <row r="528" spans="1:28" x14ac:dyDescent="0.25">
      <c r="A528" t="s">
        <v>532</v>
      </c>
      <c r="B528">
        <v>1</v>
      </c>
      <c r="C528">
        <v>0.75548649782808397</v>
      </c>
      <c r="D528">
        <v>1.12028898390627</v>
      </c>
      <c r="E528">
        <v>1.17476267707069</v>
      </c>
      <c r="F528">
        <v>1.05488199067721</v>
      </c>
      <c r="G528">
        <v>1.04999376212133</v>
      </c>
      <c r="H528">
        <v>0.98544873030815106</v>
      </c>
      <c r="I528">
        <v>1.2127570289551</v>
      </c>
      <c r="J528">
        <v>0.765864059611437</v>
      </c>
      <c r="K528">
        <v>1.0991709292170899</v>
      </c>
      <c r="L528">
        <v>112.593791649728</v>
      </c>
      <c r="M528">
        <v>1.0000000000000001E-5</v>
      </c>
      <c r="O528">
        <v>46.9265871118455</v>
      </c>
      <c r="P528">
        <v>8.4252538940426198E-4</v>
      </c>
      <c r="Q528">
        <v>1.21597474665775</v>
      </c>
      <c r="R528">
        <v>8.5541130561596103E-3</v>
      </c>
      <c r="S528" t="s">
        <v>1854</v>
      </c>
      <c r="T528" t="s">
        <v>2650</v>
      </c>
      <c r="U528" t="s">
        <v>2650</v>
      </c>
      <c r="V528" t="s">
        <v>2650</v>
      </c>
      <c r="W528" t="s">
        <v>3178</v>
      </c>
      <c r="X528">
        <v>2</v>
      </c>
      <c r="Y528" t="s">
        <v>4493</v>
      </c>
      <c r="Z528" t="s">
        <v>5808</v>
      </c>
      <c r="AA528">
        <v>1.0244855074454779</v>
      </c>
      <c r="AB528" t="str">
        <f>HYPERLINK("Melting_Curves/meltCurve_P29218_IMPA1.pdf", "Melting_Curves/meltCurve_P29218_IMPA1.pdf")</f>
        <v>Melting_Curves/meltCurve_P29218_IMPA1.pdf</v>
      </c>
    </row>
    <row r="529" spans="1:28" x14ac:dyDescent="0.25">
      <c r="A529" t="s">
        <v>533</v>
      </c>
      <c r="B529">
        <v>1</v>
      </c>
      <c r="C529">
        <v>0.75569865065790198</v>
      </c>
      <c r="D529">
        <v>1.1176398251556701</v>
      </c>
      <c r="E529">
        <v>1.36454595253267</v>
      </c>
      <c r="F529">
        <v>1.09211747213558</v>
      </c>
      <c r="G529">
        <v>1.2268169165241301</v>
      </c>
      <c r="H529">
        <v>1.13358151390147</v>
      </c>
      <c r="I529">
        <v>1.3718125006987101</v>
      </c>
      <c r="J529">
        <v>0.94137572525740398</v>
      </c>
      <c r="K529">
        <v>1.2331891203005001</v>
      </c>
      <c r="L529">
        <v>11480.586095526</v>
      </c>
      <c r="M529">
        <v>250</v>
      </c>
      <c r="O529">
        <v>45.919406309454899</v>
      </c>
      <c r="P529">
        <v>0.26510718550364298</v>
      </c>
      <c r="Q529">
        <v>1.1947770300704901</v>
      </c>
      <c r="R529">
        <v>0.38633797849211798</v>
      </c>
      <c r="S529" t="s">
        <v>1855</v>
      </c>
      <c r="T529" t="s">
        <v>2650</v>
      </c>
      <c r="U529" t="s">
        <v>2650</v>
      </c>
      <c r="V529" t="s">
        <v>2650</v>
      </c>
      <c r="W529" t="s">
        <v>3179</v>
      </c>
      <c r="X529">
        <v>6</v>
      </c>
      <c r="Y529" t="s">
        <v>4494</v>
      </c>
      <c r="Z529" t="s">
        <v>5809</v>
      </c>
      <c r="AA529">
        <v>1.1563101107453351</v>
      </c>
      <c r="AB529" t="str">
        <f>HYPERLINK("Melting_Curves/meltCurve_P29401_TKT.pdf", "Melting_Curves/meltCurve_P29401_TKT.pdf")</f>
        <v>Melting_Curves/meltCurve_P29401_TKT.pdf</v>
      </c>
    </row>
    <row r="530" spans="1:28" x14ac:dyDescent="0.25">
      <c r="A530" t="s">
        <v>534</v>
      </c>
      <c r="B530">
        <v>1</v>
      </c>
      <c r="C530">
        <v>0.891194238674201</v>
      </c>
      <c r="D530">
        <v>1.31148252188154</v>
      </c>
      <c r="E530">
        <v>1.7045368271493799</v>
      </c>
      <c r="F530">
        <v>1.63772627194933</v>
      </c>
      <c r="G530">
        <v>1.92763635969241</v>
      </c>
      <c r="H530">
        <v>1.76505677812605</v>
      </c>
      <c r="I530">
        <v>2.2097374215030201</v>
      </c>
      <c r="J530">
        <v>1.3967310549777101</v>
      </c>
      <c r="K530">
        <v>1.9509549787963301</v>
      </c>
      <c r="L530">
        <v>11476.900989227801</v>
      </c>
      <c r="M530">
        <v>250</v>
      </c>
      <c r="O530">
        <v>45.904666556019002</v>
      </c>
      <c r="P530">
        <v>0.68075868186537203</v>
      </c>
      <c r="Q530">
        <v>1.5</v>
      </c>
      <c r="R530">
        <v>0.35769617340533</v>
      </c>
      <c r="S530" t="s">
        <v>1856</v>
      </c>
      <c r="T530" t="s">
        <v>2650</v>
      </c>
      <c r="U530" t="s">
        <v>2650</v>
      </c>
      <c r="V530" t="s">
        <v>2650</v>
      </c>
      <c r="W530" t="s">
        <v>3180</v>
      </c>
      <c r="X530">
        <v>8</v>
      </c>
      <c r="Y530" t="s">
        <v>4495</v>
      </c>
      <c r="Z530" t="s">
        <v>5810</v>
      </c>
      <c r="AA530">
        <v>1.401499650486252</v>
      </c>
      <c r="AB530" t="str">
        <f>HYPERLINK("Melting_Curves/meltCurve_P29622_SERPINA4.pdf", "Melting_Curves/meltCurve_P29622_SERPINA4.pdf")</f>
        <v>Melting_Curves/meltCurve_P29622_SERPINA4.pdf</v>
      </c>
    </row>
    <row r="531" spans="1:28" x14ac:dyDescent="0.25">
      <c r="A531" t="s">
        <v>535</v>
      </c>
      <c r="B531">
        <v>1</v>
      </c>
      <c r="C531">
        <v>0.81727649603460695</v>
      </c>
      <c r="D531">
        <v>1.13854842585917</v>
      </c>
      <c r="E531">
        <v>1.2965032444124001</v>
      </c>
      <c r="F531">
        <v>1.1060291997116101</v>
      </c>
      <c r="G531">
        <v>1.14517243451093</v>
      </c>
      <c r="H531">
        <v>1.04492609949531</v>
      </c>
      <c r="I531">
        <v>1.2873107426099499</v>
      </c>
      <c r="J531">
        <v>0.83041937034366697</v>
      </c>
      <c r="K531">
        <v>1.0286589762076399</v>
      </c>
      <c r="L531">
        <v>11141.4749357741</v>
      </c>
      <c r="M531">
        <v>250</v>
      </c>
      <c r="O531">
        <v>44.563047918258697</v>
      </c>
      <c r="P531">
        <v>0.153853417120206</v>
      </c>
      <c r="Q531">
        <v>1.10969883482453</v>
      </c>
      <c r="R531">
        <v>0.201022536561131</v>
      </c>
      <c r="S531" t="s">
        <v>1857</v>
      </c>
      <c r="T531" t="s">
        <v>2650</v>
      </c>
      <c r="U531" t="s">
        <v>2650</v>
      </c>
      <c r="V531" t="s">
        <v>2650</v>
      </c>
      <c r="W531" t="s">
        <v>3181</v>
      </c>
      <c r="X531">
        <v>3</v>
      </c>
      <c r="Y531" t="s">
        <v>4496</v>
      </c>
      <c r="Z531" t="s">
        <v>5811</v>
      </c>
      <c r="AA531">
        <v>1.09299445895064</v>
      </c>
      <c r="AB531" t="str">
        <f>HYPERLINK("Melting_Curves/meltCurve_P29692_3_EEF1D.pdf", "Melting_Curves/meltCurve_P29692_3_EEF1D.pdf")</f>
        <v>Melting_Curves/meltCurve_P29692_3_EEF1D.pdf</v>
      </c>
    </row>
    <row r="532" spans="1:28" x14ac:dyDescent="0.25">
      <c r="A532" t="s">
        <v>536</v>
      </c>
      <c r="B532">
        <v>1</v>
      </c>
      <c r="C532">
        <v>0.72400817615906299</v>
      </c>
      <c r="D532">
        <v>1.09551240360494</v>
      </c>
      <c r="E532">
        <v>1.2861655672210399</v>
      </c>
      <c r="F532">
        <v>1.00260150515655</v>
      </c>
      <c r="G532">
        <v>1.08101830344699</v>
      </c>
      <c r="H532">
        <v>1.15423209142432</v>
      </c>
      <c r="I532">
        <v>1.3568707609402599</v>
      </c>
      <c r="J532">
        <v>0.85076651491219901</v>
      </c>
      <c r="K532">
        <v>1.1618507850970901</v>
      </c>
      <c r="L532">
        <v>11449.8864919524</v>
      </c>
      <c r="M532">
        <v>250</v>
      </c>
      <c r="O532">
        <v>45.796614874610398</v>
      </c>
      <c r="P532">
        <v>0.174199081573055</v>
      </c>
      <c r="Q532">
        <v>1.1276436524854401</v>
      </c>
      <c r="R532">
        <v>0.22426843454841999</v>
      </c>
      <c r="S532" t="s">
        <v>1858</v>
      </c>
      <c r="T532" t="s">
        <v>2650</v>
      </c>
      <c r="U532" t="s">
        <v>2650</v>
      </c>
      <c r="V532" t="s">
        <v>2650</v>
      </c>
      <c r="W532" t="s">
        <v>3182</v>
      </c>
      <c r="X532">
        <v>5</v>
      </c>
      <c r="Y532" t="s">
        <v>4497</v>
      </c>
      <c r="Z532" t="s">
        <v>5812</v>
      </c>
      <c r="AA532">
        <v>1.102957551806043</v>
      </c>
      <c r="AB532" t="str">
        <f>HYPERLINK("Melting_Curves/meltCurve_P30040_ERP29.pdf", "Melting_Curves/meltCurve_P30040_ERP29.pdf")</f>
        <v>Melting_Curves/meltCurve_P30040_ERP29.pdf</v>
      </c>
    </row>
    <row r="533" spans="1:28" x14ac:dyDescent="0.25">
      <c r="A533" t="s">
        <v>537</v>
      </c>
      <c r="B533">
        <v>1</v>
      </c>
      <c r="C533">
        <v>0.81521965438267796</v>
      </c>
      <c r="D533">
        <v>1.3576931084738699</v>
      </c>
      <c r="E533">
        <v>1.7741689222014001</v>
      </c>
      <c r="F533">
        <v>1.53376361995975</v>
      </c>
      <c r="G533">
        <v>1.7052883614407699</v>
      </c>
      <c r="H533">
        <v>1.5850857103199401</v>
      </c>
      <c r="I533">
        <v>1.85963633839961</v>
      </c>
      <c r="J533">
        <v>1.1765910195017</v>
      </c>
      <c r="K533">
        <v>1.5901519883406201</v>
      </c>
      <c r="L533">
        <v>11457.602301835001</v>
      </c>
      <c r="M533">
        <v>250</v>
      </c>
      <c r="O533">
        <v>45.827476306988501</v>
      </c>
      <c r="P533">
        <v>0.68190532220538103</v>
      </c>
      <c r="Q533">
        <v>1.5</v>
      </c>
      <c r="R533">
        <v>0.62462138053737803</v>
      </c>
      <c r="S533" t="s">
        <v>1859</v>
      </c>
      <c r="T533" t="s">
        <v>2650</v>
      </c>
      <c r="U533" t="s">
        <v>2650</v>
      </c>
      <c r="V533" t="s">
        <v>2650</v>
      </c>
      <c r="W533" t="s">
        <v>3183</v>
      </c>
      <c r="X533">
        <v>11</v>
      </c>
      <c r="Y533" t="s">
        <v>4498</v>
      </c>
      <c r="Z533" t="s">
        <v>5813</v>
      </c>
      <c r="AA533">
        <v>1.4027862973835601</v>
      </c>
      <c r="AB533" t="str">
        <f>HYPERLINK("Melting_Curves/meltCurve_P30041_PRDX6.pdf", "Melting_Curves/meltCurve_P30041_PRDX6.pdf")</f>
        <v>Melting_Curves/meltCurve_P30041_PRDX6.pdf</v>
      </c>
    </row>
    <row r="534" spans="1:28" x14ac:dyDescent="0.25">
      <c r="A534" t="s">
        <v>538</v>
      </c>
      <c r="B534">
        <v>1</v>
      </c>
      <c r="C534">
        <v>0.78223451136265398</v>
      </c>
      <c r="D534">
        <v>1.3560010368962201</v>
      </c>
      <c r="E534">
        <v>1.5818715976842599</v>
      </c>
      <c r="F534">
        <v>1.2148967424177</v>
      </c>
      <c r="G534">
        <v>1.4103516806359599</v>
      </c>
      <c r="H534">
        <v>1.47774993519399</v>
      </c>
      <c r="I534">
        <v>2.14481983928109</v>
      </c>
      <c r="J534">
        <v>1.47273827011147</v>
      </c>
      <c r="K534">
        <v>2.0794089691523401</v>
      </c>
      <c r="L534">
        <v>11458.364152009501</v>
      </c>
      <c r="M534">
        <v>250</v>
      </c>
      <c r="O534">
        <v>45.8305235315567</v>
      </c>
      <c r="P534">
        <v>0.68185998329995701</v>
      </c>
      <c r="Q534">
        <v>1.5</v>
      </c>
      <c r="R534">
        <v>0.44393263981854902</v>
      </c>
      <c r="S534" t="s">
        <v>1860</v>
      </c>
      <c r="T534" t="s">
        <v>2650</v>
      </c>
      <c r="U534" t="s">
        <v>2650</v>
      </c>
      <c r="V534" t="s">
        <v>2650</v>
      </c>
      <c r="W534" t="s">
        <v>3184</v>
      </c>
      <c r="X534">
        <v>2</v>
      </c>
      <c r="Y534" t="s">
        <v>4499</v>
      </c>
      <c r="Z534" t="s">
        <v>5814</v>
      </c>
      <c r="AA534">
        <v>1.402735504697856</v>
      </c>
      <c r="AB534" t="str">
        <f>HYPERLINK("Melting_Curves/meltCurve_P30043_BLVRB.pdf", "Melting_Curves/meltCurve_P30043_BLVRB.pdf")</f>
        <v>Melting_Curves/meltCurve_P30043_BLVRB.pdf</v>
      </c>
    </row>
    <row r="535" spans="1:28" x14ac:dyDescent="0.25">
      <c r="A535" t="s">
        <v>539</v>
      </c>
      <c r="B535">
        <v>1</v>
      </c>
      <c r="C535">
        <v>0.80148007332473303</v>
      </c>
      <c r="D535">
        <v>1.16925792653948</v>
      </c>
      <c r="E535">
        <v>1.28895376468192</v>
      </c>
      <c r="F535">
        <v>1.1288614298323001</v>
      </c>
      <c r="G535">
        <v>1.1744857084662901</v>
      </c>
      <c r="H535">
        <v>1.0953221535745801</v>
      </c>
      <c r="I535">
        <v>1.34381152827755</v>
      </c>
      <c r="J535">
        <v>0.93964288139045404</v>
      </c>
      <c r="K535">
        <v>1.1275035643967699</v>
      </c>
      <c r="L535">
        <v>11165.045622584201</v>
      </c>
      <c r="M535">
        <v>250</v>
      </c>
      <c r="O535">
        <v>44.657325670677899</v>
      </c>
      <c r="P535">
        <v>0.221819133888915</v>
      </c>
      <c r="Q535">
        <v>1.15849358461778</v>
      </c>
      <c r="R535">
        <v>0.37406534193877899</v>
      </c>
      <c r="S535" t="s">
        <v>1861</v>
      </c>
      <c r="T535" t="s">
        <v>2650</v>
      </c>
      <c r="U535" t="s">
        <v>2650</v>
      </c>
      <c r="V535" t="s">
        <v>2650</v>
      </c>
      <c r="W535" t="s">
        <v>3185</v>
      </c>
      <c r="X535">
        <v>4</v>
      </c>
      <c r="Y535" t="s">
        <v>4500</v>
      </c>
      <c r="Z535" t="s">
        <v>5815</v>
      </c>
      <c r="AA535">
        <v>1.1338608612905761</v>
      </c>
      <c r="AB535" t="str">
        <f>HYPERLINK("Melting_Curves/meltCurve_P30044_2_PRDX5.pdf", "Melting_Curves/meltCurve_P30044_2_PRDX5.pdf")</f>
        <v>Melting_Curves/meltCurve_P30044_2_PRDX5.pdf</v>
      </c>
    </row>
    <row r="536" spans="1:28" x14ac:dyDescent="0.25">
      <c r="A536" t="s">
        <v>540</v>
      </c>
      <c r="B536">
        <v>1</v>
      </c>
      <c r="C536">
        <v>0.93618033446774296</v>
      </c>
      <c r="D536">
        <v>1.4141691367511999</v>
      </c>
      <c r="E536">
        <v>2.2546565667654699</v>
      </c>
      <c r="F536">
        <v>2.8631390200168298</v>
      </c>
      <c r="G536">
        <v>3.7958795330625401</v>
      </c>
      <c r="H536">
        <v>3.8705309766897198</v>
      </c>
      <c r="I536">
        <v>4.5841109525377801</v>
      </c>
      <c r="J536">
        <v>4.2137812419951004</v>
      </c>
      <c r="K536">
        <v>4.3169758846562001</v>
      </c>
      <c r="L536">
        <v>11427.6008169466</v>
      </c>
      <c r="M536">
        <v>250</v>
      </c>
      <c r="O536">
        <v>45.707478152006303</v>
      </c>
      <c r="P536">
        <v>0.68369556431720502</v>
      </c>
      <c r="Q536">
        <v>1.5</v>
      </c>
      <c r="R536">
        <v>-1.0724400383850901</v>
      </c>
      <c r="S536" t="s">
        <v>1862</v>
      </c>
      <c r="T536" t="s">
        <v>2650</v>
      </c>
      <c r="U536" t="s">
        <v>2650</v>
      </c>
      <c r="V536" t="s">
        <v>2650</v>
      </c>
      <c r="W536" t="s">
        <v>3186</v>
      </c>
      <c r="X536">
        <v>3</v>
      </c>
      <c r="Y536" t="s">
        <v>4501</v>
      </c>
      <c r="Z536" t="s">
        <v>5816</v>
      </c>
      <c r="AA536">
        <v>1.404786501680398</v>
      </c>
      <c r="AB536" t="str">
        <f>HYPERLINK("Melting_Curves/meltCurve_P30046_2_DDT.pdf", "Melting_Curves/meltCurve_P30046_2_DDT.pdf")</f>
        <v>Melting_Curves/meltCurve_P30046_2_DDT.pdf</v>
      </c>
    </row>
    <row r="537" spans="1:28" x14ac:dyDescent="0.25">
      <c r="A537" t="s">
        <v>541</v>
      </c>
      <c r="B537">
        <v>1</v>
      </c>
      <c r="C537">
        <v>0.89778630319782704</v>
      </c>
      <c r="D537">
        <v>1.16960158223324</v>
      </c>
      <c r="E537">
        <v>1.40887861602249</v>
      </c>
      <c r="F537">
        <v>1.1359672115522099</v>
      </c>
      <c r="G537">
        <v>1.24624696182624</v>
      </c>
      <c r="H537">
        <v>1.07060477529429</v>
      </c>
      <c r="I537">
        <v>1.25994852976219</v>
      </c>
      <c r="J537">
        <v>0.91645617881141905</v>
      </c>
      <c r="K537">
        <v>1.2798455892865701</v>
      </c>
      <c r="L537">
        <v>11398.516457407501</v>
      </c>
      <c r="M537">
        <v>250</v>
      </c>
      <c r="O537">
        <v>45.591167200269197</v>
      </c>
      <c r="P537">
        <v>0.25810696712382702</v>
      </c>
      <c r="Q537">
        <v>1.1882782877640301</v>
      </c>
      <c r="R537">
        <v>0.33799389155398601</v>
      </c>
      <c r="S537" t="s">
        <v>1863</v>
      </c>
      <c r="T537" t="s">
        <v>2650</v>
      </c>
      <c r="U537" t="s">
        <v>2650</v>
      </c>
      <c r="V537" t="s">
        <v>2650</v>
      </c>
      <c r="W537" t="s">
        <v>3187</v>
      </c>
      <c r="X537">
        <v>3</v>
      </c>
      <c r="Y537" t="s">
        <v>4502</v>
      </c>
      <c r="Z537" t="s">
        <v>5817</v>
      </c>
      <c r="AA537">
        <v>1.153155184455571</v>
      </c>
      <c r="AB537" t="str">
        <f>HYPERLINK("Melting_Curves/meltCurve_P30048_2_PRDX3.pdf", "Melting_Curves/meltCurve_P30048_2_PRDX3.pdf")</f>
        <v>Melting_Curves/meltCurve_P30048_2_PRDX3.pdf</v>
      </c>
    </row>
    <row r="538" spans="1:28" x14ac:dyDescent="0.25">
      <c r="A538" t="s">
        <v>542</v>
      </c>
      <c r="B538">
        <v>1</v>
      </c>
      <c r="C538">
        <v>0.69308357348703198</v>
      </c>
      <c r="D538">
        <v>1.2186811323953199</v>
      </c>
      <c r="E538">
        <v>1.29623665027971</v>
      </c>
      <c r="F538">
        <v>0.90244109171045905</v>
      </c>
      <c r="G538">
        <v>0.93778606543481902</v>
      </c>
      <c r="H538">
        <v>1.0059755890829001</v>
      </c>
      <c r="I538">
        <v>1.14286319715206</v>
      </c>
      <c r="J538">
        <v>0.685497541956264</v>
      </c>
      <c r="K538">
        <v>0.91464655026275599</v>
      </c>
      <c r="L538">
        <v>15000</v>
      </c>
      <c r="M538">
        <v>229.018428064034</v>
      </c>
      <c r="O538">
        <v>65.491913674562596</v>
      </c>
      <c r="P538">
        <v>-0.17470095521304699</v>
      </c>
      <c r="Q538">
        <v>0.80016454106201695</v>
      </c>
      <c r="R538">
        <v>0.20588880334175999</v>
      </c>
      <c r="S538" t="s">
        <v>1864</v>
      </c>
      <c r="T538" t="s">
        <v>2650</v>
      </c>
      <c r="U538" t="s">
        <v>2650</v>
      </c>
      <c r="V538" t="s">
        <v>2650</v>
      </c>
      <c r="W538" t="s">
        <v>3188</v>
      </c>
      <c r="X538">
        <v>3</v>
      </c>
      <c r="Y538" t="s">
        <v>4503</v>
      </c>
      <c r="Z538" t="s">
        <v>5818</v>
      </c>
      <c r="AA538">
        <v>0.97003148863196975</v>
      </c>
      <c r="AB538" t="str">
        <f>HYPERLINK("Melting_Curves/meltCurve_P30085_CMPK1.pdf", "Melting_Curves/meltCurve_P30085_CMPK1.pdf")</f>
        <v>Melting_Curves/meltCurve_P30085_CMPK1.pdf</v>
      </c>
    </row>
    <row r="539" spans="1:28" x14ac:dyDescent="0.25">
      <c r="A539" t="s">
        <v>543</v>
      </c>
      <c r="B539">
        <v>1</v>
      </c>
      <c r="C539">
        <v>0.82402639604059402</v>
      </c>
      <c r="D539">
        <v>1.36559516072589</v>
      </c>
      <c r="E539">
        <v>1.9577063440483899</v>
      </c>
      <c r="F539">
        <v>2.21301804729291</v>
      </c>
      <c r="G539">
        <v>2.6120081987701802</v>
      </c>
      <c r="H539">
        <v>2.2048192771084301</v>
      </c>
      <c r="I539">
        <v>2.7120431935209699</v>
      </c>
      <c r="J539">
        <v>2.1842723591461302</v>
      </c>
      <c r="K539">
        <v>2.54661800729891</v>
      </c>
      <c r="L539">
        <v>11453.969190202401</v>
      </c>
      <c r="M539">
        <v>250</v>
      </c>
      <c r="O539">
        <v>45.8129446792001</v>
      </c>
      <c r="P539">
        <v>0.68212161737046295</v>
      </c>
      <c r="Q539">
        <v>1.5</v>
      </c>
      <c r="R539">
        <v>-0.35355130317291</v>
      </c>
      <c r="S539" t="s">
        <v>1865</v>
      </c>
      <c r="T539" t="s">
        <v>2650</v>
      </c>
      <c r="U539" t="s">
        <v>2650</v>
      </c>
      <c r="V539" t="s">
        <v>2650</v>
      </c>
      <c r="W539" t="s">
        <v>3189</v>
      </c>
      <c r="X539">
        <v>12</v>
      </c>
      <c r="Y539" t="s">
        <v>4504</v>
      </c>
      <c r="Z539" t="s">
        <v>5819</v>
      </c>
      <c r="AA539">
        <v>1.4030285175778421</v>
      </c>
      <c r="AB539" t="str">
        <f>HYPERLINK("Melting_Curves/meltCurve_P30086_PEBP1.pdf", "Melting_Curves/meltCurve_P30086_PEBP1.pdf")</f>
        <v>Melting_Curves/meltCurve_P30086_PEBP1.pdf</v>
      </c>
    </row>
    <row r="540" spans="1:28" x14ac:dyDescent="0.25">
      <c r="A540" t="s">
        <v>544</v>
      </c>
      <c r="B540">
        <v>1</v>
      </c>
      <c r="C540">
        <v>0.77322299394118499</v>
      </c>
      <c r="D540">
        <v>1.04773163883553</v>
      </c>
      <c r="E540">
        <v>1.20842323038274</v>
      </c>
      <c r="F540">
        <v>0.99840401950642799</v>
      </c>
      <c r="G540">
        <v>1.01581202896409</v>
      </c>
      <c r="H540">
        <v>0.98761637357765597</v>
      </c>
      <c r="I540">
        <v>1.2398404019506399</v>
      </c>
      <c r="J540">
        <v>0.790719668981824</v>
      </c>
      <c r="K540">
        <v>1.03555489877346</v>
      </c>
      <c r="L540">
        <v>1289.81591325107</v>
      </c>
      <c r="M540">
        <v>14.8198003315287</v>
      </c>
      <c r="Q540">
        <v>0.60493757238296197</v>
      </c>
      <c r="R540">
        <v>-3.9193902126331004E-3</v>
      </c>
      <c r="S540" t="s">
        <v>1866</v>
      </c>
      <c r="T540" t="s">
        <v>2650</v>
      </c>
      <c r="U540" t="s">
        <v>2650</v>
      </c>
      <c r="V540" t="s">
        <v>2650</v>
      </c>
      <c r="W540" t="s">
        <v>3190</v>
      </c>
      <c r="X540">
        <v>14</v>
      </c>
      <c r="Y540" t="s">
        <v>4505</v>
      </c>
      <c r="Z540" t="s">
        <v>5820</v>
      </c>
      <c r="AA540">
        <v>0.99878621266299628</v>
      </c>
      <c r="AB540" t="str">
        <f>HYPERLINK("Melting_Curves/meltCurve_P30101_PDIA3.pdf", "Melting_Curves/meltCurve_P30101_PDIA3.pdf")</f>
        <v>Melting_Curves/meltCurve_P30101_PDIA3.pdf</v>
      </c>
    </row>
    <row r="541" spans="1:28" x14ac:dyDescent="0.25">
      <c r="A541" t="s">
        <v>545</v>
      </c>
      <c r="B541">
        <v>1</v>
      </c>
      <c r="C541">
        <v>0.81735620585267399</v>
      </c>
      <c r="D541">
        <v>1.19622435250589</v>
      </c>
      <c r="E541">
        <v>1.4506390850992299</v>
      </c>
      <c r="F541">
        <v>1.1146569122098899</v>
      </c>
      <c r="G541">
        <v>1.14976454759502</v>
      </c>
      <c r="H541">
        <v>1.1255886310124501</v>
      </c>
      <c r="I541">
        <v>1.392743020518</v>
      </c>
      <c r="J541">
        <v>0.92911200807265404</v>
      </c>
      <c r="K541">
        <v>1.29254961318533</v>
      </c>
      <c r="L541">
        <v>11370.065691895899</v>
      </c>
      <c r="M541">
        <v>250</v>
      </c>
      <c r="O541">
        <v>45.477352594199097</v>
      </c>
      <c r="P541">
        <v>0.285670998937956</v>
      </c>
      <c r="Q541">
        <v>1.2078649704741899</v>
      </c>
      <c r="R541">
        <v>0.35242073622556502</v>
      </c>
      <c r="S541" t="s">
        <v>1867</v>
      </c>
      <c r="T541" t="s">
        <v>2650</v>
      </c>
      <c r="U541" t="s">
        <v>2650</v>
      </c>
      <c r="V541" t="s">
        <v>2650</v>
      </c>
      <c r="W541" t="s">
        <v>3191</v>
      </c>
      <c r="X541">
        <v>2</v>
      </c>
      <c r="Y541" t="s">
        <v>4506</v>
      </c>
      <c r="Z541" t="s">
        <v>5821</v>
      </c>
      <c r="AA541">
        <v>1.1698765573381531</v>
      </c>
      <c r="AB541" t="str">
        <f>HYPERLINK("Melting_Curves/meltCurve_P30419_2_NMT1.pdf", "Melting_Curves/meltCurve_P30419_2_NMT1.pdf")</f>
        <v>Melting_Curves/meltCurve_P30419_2_NMT1.pdf</v>
      </c>
    </row>
    <row r="542" spans="1:28" x14ac:dyDescent="0.25">
      <c r="A542" t="s">
        <v>546</v>
      </c>
      <c r="B542">
        <v>1</v>
      </c>
      <c r="C542">
        <v>0.75328737762845399</v>
      </c>
      <c r="D542">
        <v>1.0371024734982299</v>
      </c>
      <c r="E542">
        <v>1.1630365521635899</v>
      </c>
      <c r="F542">
        <v>0.91270346984881001</v>
      </c>
      <c r="G542">
        <v>0.83167757631929595</v>
      </c>
      <c r="H542">
        <v>0.83917916932167103</v>
      </c>
      <c r="I542">
        <v>0.97207901291780097</v>
      </c>
      <c r="J542">
        <v>0.60778833342987904</v>
      </c>
      <c r="K542">
        <v>0.84849099229566105</v>
      </c>
      <c r="L542">
        <v>13253.2749598139</v>
      </c>
      <c r="M542">
        <v>250</v>
      </c>
      <c r="O542">
        <v>53.009707470125001</v>
      </c>
      <c r="P542">
        <v>-0.212410381353725</v>
      </c>
      <c r="Q542">
        <v>0.81984300574407498</v>
      </c>
      <c r="R542">
        <v>0.28420061056942902</v>
      </c>
      <c r="S542" t="s">
        <v>1868</v>
      </c>
      <c r="T542" t="s">
        <v>2650</v>
      </c>
      <c r="U542" t="s">
        <v>2650</v>
      </c>
      <c r="V542" t="s">
        <v>2650</v>
      </c>
      <c r="W542" t="s">
        <v>3192</v>
      </c>
      <c r="X542">
        <v>4</v>
      </c>
      <c r="Y542" t="s">
        <v>4507</v>
      </c>
      <c r="Z542" t="s">
        <v>5822</v>
      </c>
      <c r="AA542">
        <v>0.89800646547318774</v>
      </c>
      <c r="AB542" t="str">
        <f>HYPERLINK("Melting_Curves/meltCurve_P30492_HLA_B.pdf", "Melting_Curves/meltCurve_P30492_HLA_B.pdf")</f>
        <v>Melting_Curves/meltCurve_P30492_HLA_B.pdf</v>
      </c>
    </row>
    <row r="543" spans="1:28" x14ac:dyDescent="0.25">
      <c r="A543" t="s">
        <v>547</v>
      </c>
      <c r="B543">
        <v>1</v>
      </c>
      <c r="C543">
        <v>1.06683804627249</v>
      </c>
      <c r="D543">
        <v>1.6365916358392401</v>
      </c>
      <c r="E543">
        <v>2.4003385792212701</v>
      </c>
      <c r="F543">
        <v>2.3360712270361801</v>
      </c>
      <c r="G543">
        <v>2.3494889961753098</v>
      </c>
      <c r="H543">
        <v>2.26779108408051</v>
      </c>
      <c r="I543">
        <v>3.0163646623612799</v>
      </c>
      <c r="J543">
        <v>1.90281522352499</v>
      </c>
      <c r="K543">
        <v>2.5819173615900701</v>
      </c>
      <c r="L543">
        <v>10805.172982263901</v>
      </c>
      <c r="M543">
        <v>250</v>
      </c>
      <c r="O543">
        <v>43.217926101800202</v>
      </c>
      <c r="P543">
        <v>0.723079584395246</v>
      </c>
      <c r="Q543">
        <v>1.5</v>
      </c>
      <c r="R543">
        <v>-0.69420479824649395</v>
      </c>
      <c r="S543" t="s">
        <v>1869</v>
      </c>
      <c r="T543" t="s">
        <v>2650</v>
      </c>
      <c r="U543" t="s">
        <v>2650</v>
      </c>
      <c r="V543" t="s">
        <v>2650</v>
      </c>
      <c r="W543" t="s">
        <v>3193</v>
      </c>
      <c r="X543">
        <v>4</v>
      </c>
      <c r="Y543" t="s">
        <v>4508</v>
      </c>
      <c r="Z543" t="s">
        <v>5823</v>
      </c>
      <c r="AA543">
        <v>1.446283875357133</v>
      </c>
      <c r="AB543" t="str">
        <f>HYPERLINK("Melting_Curves/meltCurve_P30520_ADSS.pdf", "Melting_Curves/meltCurve_P30520_ADSS.pdf")</f>
        <v>Melting_Curves/meltCurve_P30520_ADSS.pdf</v>
      </c>
    </row>
    <row r="544" spans="1:28" x14ac:dyDescent="0.25">
      <c r="A544" t="s">
        <v>548</v>
      </c>
      <c r="B544">
        <v>1</v>
      </c>
      <c r="C544">
        <v>0.66701936423419095</v>
      </c>
      <c r="D544">
        <v>1.0844767560925701</v>
      </c>
      <c r="E544">
        <v>1.25412428607186</v>
      </c>
      <c r="F544">
        <v>0.86786356292807199</v>
      </c>
      <c r="G544">
        <v>0.94668578059935804</v>
      </c>
      <c r="H544">
        <v>0.84980772293899498</v>
      </c>
      <c r="I544">
        <v>0.96422964024848101</v>
      </c>
      <c r="J544">
        <v>0.606673948164835</v>
      </c>
      <c r="K544">
        <v>0.83317405056090299</v>
      </c>
      <c r="L544">
        <v>1106.9149416939699</v>
      </c>
      <c r="M544">
        <v>17.826803614682301</v>
      </c>
      <c r="O544">
        <v>61.327213079057401</v>
      </c>
      <c r="P544">
        <v>-2.0108727756009699E-2</v>
      </c>
      <c r="Q544">
        <v>0.72330458904522699</v>
      </c>
      <c r="R544">
        <v>0.20871140893951401</v>
      </c>
      <c r="S544" t="s">
        <v>1870</v>
      </c>
      <c r="T544" t="s">
        <v>2650</v>
      </c>
      <c r="U544" t="s">
        <v>2650</v>
      </c>
      <c r="V544" t="s">
        <v>2650</v>
      </c>
      <c r="W544" t="s">
        <v>3194</v>
      </c>
      <c r="X544">
        <v>4</v>
      </c>
      <c r="Y544" t="s">
        <v>4509</v>
      </c>
      <c r="Z544" t="s">
        <v>5824</v>
      </c>
      <c r="AA544">
        <v>0.92732559814389215</v>
      </c>
      <c r="AB544" t="str">
        <f>HYPERLINK("Melting_Curves/meltCurve_P30533_LRPAP1.pdf", "Melting_Curves/meltCurve_P30533_LRPAP1.pdf")</f>
        <v>Melting_Curves/meltCurve_P30533_LRPAP1.pdf</v>
      </c>
    </row>
    <row r="545" spans="1:28" x14ac:dyDescent="0.25">
      <c r="A545" t="s">
        <v>549</v>
      </c>
      <c r="B545">
        <v>1</v>
      </c>
      <c r="C545">
        <v>0.74199296182457997</v>
      </c>
      <c r="D545">
        <v>1.1599180364381501</v>
      </c>
      <c r="E545">
        <v>1.1975143658960301</v>
      </c>
      <c r="F545">
        <v>0.950198227092521</v>
      </c>
      <c r="G545">
        <v>0.98507728629337599</v>
      </c>
      <c r="H545">
        <v>0.86164194396186899</v>
      </c>
      <c r="I545">
        <v>1.15203349815137</v>
      </c>
      <c r="J545">
        <v>0.63650942135507105</v>
      </c>
      <c r="K545">
        <v>0.89763463851396497</v>
      </c>
      <c r="L545">
        <v>15000</v>
      </c>
      <c r="M545">
        <v>229.05238292939501</v>
      </c>
      <c r="O545">
        <v>65.482211248633803</v>
      </c>
      <c r="P545">
        <v>-0.20361531853992201</v>
      </c>
      <c r="Q545">
        <v>0.76715926539758295</v>
      </c>
      <c r="R545">
        <v>0.300017575380504</v>
      </c>
      <c r="S545" t="s">
        <v>1871</v>
      </c>
      <c r="T545" t="s">
        <v>2650</v>
      </c>
      <c r="U545" t="s">
        <v>2650</v>
      </c>
      <c r="V545" t="s">
        <v>2650</v>
      </c>
      <c r="W545" t="s">
        <v>3195</v>
      </c>
      <c r="X545">
        <v>1</v>
      </c>
      <c r="Y545" t="s">
        <v>4510</v>
      </c>
      <c r="Z545" t="s">
        <v>5825</v>
      </c>
      <c r="AA545">
        <v>0.96500645009941255</v>
      </c>
      <c r="AB545" t="str">
        <f>HYPERLINK("Melting_Curves/meltCurve_P30622_2_CLIP1.pdf", "Melting_Curves/meltCurve_P30622_2_CLIP1.pdf")</f>
        <v>Melting_Curves/meltCurve_P30622_2_CLIP1.pdf</v>
      </c>
    </row>
    <row r="546" spans="1:28" x14ac:dyDescent="0.25">
      <c r="A546" t="s">
        <v>550</v>
      </c>
      <c r="B546">
        <v>1</v>
      </c>
      <c r="C546">
        <v>0.75180696096964295</v>
      </c>
      <c r="D546">
        <v>1.2562363319619001</v>
      </c>
      <c r="E546">
        <v>1.51162014900478</v>
      </c>
      <c r="F546">
        <v>1.3863375217762</v>
      </c>
      <c r="G546">
        <v>1.5569146373105001</v>
      </c>
      <c r="H546">
        <v>1.3481226138848701</v>
      </c>
      <c r="I546">
        <v>1.46717817561807</v>
      </c>
      <c r="J546">
        <v>1.07364987582935</v>
      </c>
      <c r="K546">
        <v>1.4386003928981801</v>
      </c>
      <c r="L546">
        <v>11472.6047363906</v>
      </c>
      <c r="M546">
        <v>250</v>
      </c>
      <c r="O546">
        <v>45.887491163634401</v>
      </c>
      <c r="P546">
        <v>0.54139091292643904</v>
      </c>
      <c r="Q546">
        <v>1.39748905439666</v>
      </c>
      <c r="R546">
        <v>0.64740510007186003</v>
      </c>
      <c r="S546" t="s">
        <v>1872</v>
      </c>
      <c r="T546" t="s">
        <v>2650</v>
      </c>
      <c r="U546" t="s">
        <v>2650</v>
      </c>
      <c r="V546" t="s">
        <v>2650</v>
      </c>
      <c r="W546" t="s">
        <v>3196</v>
      </c>
      <c r="X546">
        <v>1</v>
      </c>
      <c r="Y546" t="s">
        <v>4511</v>
      </c>
      <c r="Z546" t="s">
        <v>5826</v>
      </c>
      <c r="AA546">
        <v>1.3194111399431521</v>
      </c>
      <c r="AB546" t="str">
        <f>HYPERLINK("Melting_Curves/meltCurve_P30626_3_SRI.pdf", "Melting_Curves/meltCurve_P30626_3_SRI.pdf")</f>
        <v>Melting_Curves/meltCurve_P30626_3_SRI.pdf</v>
      </c>
    </row>
    <row r="547" spans="1:28" x14ac:dyDescent="0.25">
      <c r="A547" t="s">
        <v>551</v>
      </c>
      <c r="B547">
        <v>1</v>
      </c>
      <c r="C547">
        <v>0.88643559830000496</v>
      </c>
      <c r="D547">
        <v>1.3111126161973601</v>
      </c>
      <c r="E547">
        <v>1.4233901691528801</v>
      </c>
      <c r="F547">
        <v>1.41773480756532</v>
      </c>
      <c r="G547">
        <v>1.6944072876276299</v>
      </c>
      <c r="H547">
        <v>1.5543439611236201</v>
      </c>
      <c r="I547">
        <v>1.98767334360555</v>
      </c>
      <c r="J547">
        <v>1.1712016796762601</v>
      </c>
      <c r="K547">
        <v>1.7130327299818799</v>
      </c>
      <c r="L547">
        <v>11477.0458223859</v>
      </c>
      <c r="M547">
        <v>250</v>
      </c>
      <c r="O547">
        <v>45.905245864078601</v>
      </c>
      <c r="P547">
        <v>0.68075009111546703</v>
      </c>
      <c r="Q547">
        <v>1.5</v>
      </c>
      <c r="R547">
        <v>0.55837521382206301</v>
      </c>
      <c r="S547" t="s">
        <v>1873</v>
      </c>
      <c r="T547" t="s">
        <v>2650</v>
      </c>
      <c r="U547" t="s">
        <v>2650</v>
      </c>
      <c r="V547" t="s">
        <v>2650</v>
      </c>
      <c r="W547" t="s">
        <v>3197</v>
      </c>
      <c r="X547">
        <v>5</v>
      </c>
      <c r="Y547" t="s">
        <v>4512</v>
      </c>
      <c r="Z547" t="s">
        <v>5827</v>
      </c>
      <c r="AA547">
        <v>1.4014899944340189</v>
      </c>
      <c r="AB547" t="str">
        <f>HYPERLINK("Melting_Curves/meltCurve_P30740_SERPINB1.pdf", "Melting_Curves/meltCurve_P30740_SERPINB1.pdf")</f>
        <v>Melting_Curves/meltCurve_P30740_SERPINB1.pdf</v>
      </c>
    </row>
    <row r="548" spans="1:28" x14ac:dyDescent="0.25">
      <c r="A548" t="s">
        <v>552</v>
      </c>
      <c r="B548">
        <v>1</v>
      </c>
      <c r="C548">
        <v>0.94380814361179899</v>
      </c>
      <c r="D548">
        <v>1.2792763311673101</v>
      </c>
      <c r="E548">
        <v>1.3483708101537999</v>
      </c>
      <c r="F548">
        <v>1.3387873404702899</v>
      </c>
      <c r="G548">
        <v>1.28857930905521</v>
      </c>
      <c r="H548">
        <v>1.1955027815436401</v>
      </c>
      <c r="I548">
        <v>1.3708569024356001</v>
      </c>
      <c r="J548">
        <v>1.24468234304147</v>
      </c>
      <c r="K548">
        <v>1.32616520966762</v>
      </c>
      <c r="L548">
        <v>11384.289698695</v>
      </c>
      <c r="M548">
        <v>250</v>
      </c>
      <c r="O548">
        <v>45.53424950886</v>
      </c>
      <c r="P548">
        <v>0.414316284381605</v>
      </c>
      <c r="Q548">
        <v>1.3018492650415201</v>
      </c>
      <c r="R548">
        <v>0.86390802001198397</v>
      </c>
      <c r="S548" t="s">
        <v>1874</v>
      </c>
      <c r="T548" t="s">
        <v>2650</v>
      </c>
      <c r="U548" t="s">
        <v>2650</v>
      </c>
      <c r="V548" t="s">
        <v>2650</v>
      </c>
      <c r="W548" t="s">
        <v>3198</v>
      </c>
      <c r="X548">
        <v>6</v>
      </c>
      <c r="Y548" t="s">
        <v>4513</v>
      </c>
      <c r="Z548" t="s">
        <v>5828</v>
      </c>
      <c r="AA548">
        <v>1.2461122317315549</v>
      </c>
      <c r="AB548" t="str">
        <f>HYPERLINK("Melting_Curves/meltCurve_P31025_LCN1.pdf", "Melting_Curves/meltCurve_P31025_LCN1.pdf")</f>
        <v>Melting_Curves/meltCurve_P31025_LCN1.pdf</v>
      </c>
    </row>
    <row r="549" spans="1:28" x14ac:dyDescent="0.25">
      <c r="A549" t="s">
        <v>553</v>
      </c>
      <c r="B549">
        <v>1</v>
      </c>
      <c r="C549">
        <v>0.79863230874801805</v>
      </c>
      <c r="D549">
        <v>1.15498923357232</v>
      </c>
      <c r="E549">
        <v>1.2847542651617301</v>
      </c>
      <c r="F549">
        <v>1.0803104517167099</v>
      </c>
      <c r="G549">
        <v>1.096566574383</v>
      </c>
      <c r="H549">
        <v>1.0028868223657701</v>
      </c>
      <c r="I549">
        <v>1.17365892903623</v>
      </c>
      <c r="J549">
        <v>0.75244315089562497</v>
      </c>
      <c r="K549">
        <v>1.0026738600601</v>
      </c>
      <c r="L549">
        <v>1625.2608785366101</v>
      </c>
      <c r="M549">
        <v>24.1800230801922</v>
      </c>
      <c r="O549">
        <v>66.760352810393599</v>
      </c>
      <c r="P549">
        <v>-8.2457595079812197E-3</v>
      </c>
      <c r="Q549">
        <v>0.90893616950276701</v>
      </c>
      <c r="R549">
        <v>-2.07791844254437E-2</v>
      </c>
      <c r="S549" t="s">
        <v>1875</v>
      </c>
      <c r="T549" t="s">
        <v>2650</v>
      </c>
      <c r="U549" t="s">
        <v>2650</v>
      </c>
      <c r="V549" t="s">
        <v>2650</v>
      </c>
      <c r="W549" t="s">
        <v>3199</v>
      </c>
      <c r="X549">
        <v>4</v>
      </c>
      <c r="Y549" t="s">
        <v>4514</v>
      </c>
      <c r="Z549" t="s">
        <v>5829</v>
      </c>
      <c r="AA549">
        <v>0.98943917092347466</v>
      </c>
      <c r="AB549" t="str">
        <f>HYPERLINK("Melting_Curves/meltCurve_P31146_CORO1A.pdf", "Melting_Curves/meltCurve_P31146_CORO1A.pdf")</f>
        <v>Melting_Curves/meltCurve_P31146_CORO1A.pdf</v>
      </c>
    </row>
    <row r="550" spans="1:28" x14ac:dyDescent="0.25">
      <c r="A550" t="s">
        <v>554</v>
      </c>
      <c r="B550">
        <v>1</v>
      </c>
      <c r="C550">
        <v>0.85499163413273804</v>
      </c>
      <c r="D550">
        <v>1.1430749209890301</v>
      </c>
      <c r="E550">
        <v>1.3058189254508299</v>
      </c>
      <c r="F550">
        <v>1.08826919501766</v>
      </c>
      <c r="G550">
        <v>1.0504182933630799</v>
      </c>
      <c r="H550">
        <v>1.0145008365867301</v>
      </c>
      <c r="I550">
        <v>1.1734151329243401</v>
      </c>
      <c r="J550">
        <v>0.76947387990332805</v>
      </c>
      <c r="K550">
        <v>1.0282952221602499</v>
      </c>
      <c r="L550">
        <v>1370.7232163834699</v>
      </c>
      <c r="M550">
        <v>19.9871035063161</v>
      </c>
      <c r="O550">
        <v>67.904935464419097</v>
      </c>
      <c r="P550">
        <v>-4.4336701023075104E-3</v>
      </c>
      <c r="Q550">
        <v>0.93974949550279996</v>
      </c>
      <c r="R550">
        <v>-7.5912426059563401E-2</v>
      </c>
      <c r="S550" t="s">
        <v>1876</v>
      </c>
      <c r="T550" t="s">
        <v>2650</v>
      </c>
      <c r="U550" t="s">
        <v>2650</v>
      </c>
      <c r="V550" t="s">
        <v>2650</v>
      </c>
      <c r="W550" t="s">
        <v>3200</v>
      </c>
      <c r="X550">
        <v>5</v>
      </c>
      <c r="Y550" t="s">
        <v>4515</v>
      </c>
      <c r="Z550" t="s">
        <v>5830</v>
      </c>
      <c r="AA550">
        <v>0.99414299579650955</v>
      </c>
      <c r="AB550" t="str">
        <f>HYPERLINK("Melting_Curves/meltCurve_P31151_S100A7.pdf", "Melting_Curves/meltCurve_P31151_S100A7.pdf")</f>
        <v>Melting_Curves/meltCurve_P31151_S100A7.pdf</v>
      </c>
    </row>
    <row r="551" spans="1:28" x14ac:dyDescent="0.25">
      <c r="A551" t="s">
        <v>555</v>
      </c>
      <c r="B551">
        <v>1</v>
      </c>
      <c r="C551">
        <v>0.78017621145374405</v>
      </c>
      <c r="D551">
        <v>1.1349590937696701</v>
      </c>
      <c r="E551">
        <v>1.3717432347388301</v>
      </c>
      <c r="F551">
        <v>1.07375707992448</v>
      </c>
      <c r="G551">
        <v>1.20837004405286</v>
      </c>
      <c r="H551">
        <v>1.10125865324103</v>
      </c>
      <c r="I551">
        <v>1.3807111390811799</v>
      </c>
      <c r="J551">
        <v>1.0063247325361899</v>
      </c>
      <c r="K551">
        <v>1.2512586532410299</v>
      </c>
      <c r="L551">
        <v>11465.752791651201</v>
      </c>
      <c r="M551">
        <v>250</v>
      </c>
      <c r="O551">
        <v>45.8600762777969</v>
      </c>
      <c r="P551">
        <v>0.27128785579613401</v>
      </c>
      <c r="Q551">
        <v>1.1990605077551499</v>
      </c>
      <c r="R551">
        <v>0.41353026709351998</v>
      </c>
      <c r="S551" t="s">
        <v>1877</v>
      </c>
      <c r="T551" t="s">
        <v>2650</v>
      </c>
      <c r="U551" t="s">
        <v>2650</v>
      </c>
      <c r="V551" t="s">
        <v>2650</v>
      </c>
      <c r="W551" t="s">
        <v>3201</v>
      </c>
      <c r="X551">
        <v>4</v>
      </c>
      <c r="Y551" t="s">
        <v>4516</v>
      </c>
      <c r="Z551" t="s">
        <v>5831</v>
      </c>
      <c r="AA551">
        <v>1.160141352939708</v>
      </c>
      <c r="AB551" t="str">
        <f>HYPERLINK("Melting_Curves/meltCurve_P31153_MAT2A.pdf", "Melting_Curves/meltCurve_P31153_MAT2A.pdf")</f>
        <v>Melting_Curves/meltCurve_P31153_MAT2A.pdf</v>
      </c>
    </row>
    <row r="552" spans="1:28" x14ac:dyDescent="0.25">
      <c r="A552" t="s">
        <v>556</v>
      </c>
      <c r="B552">
        <v>1</v>
      </c>
      <c r="C552">
        <v>0.73521056903237403</v>
      </c>
      <c r="D552">
        <v>1.1221931643971499</v>
      </c>
      <c r="E552">
        <v>1.35846334205068</v>
      </c>
      <c r="F552">
        <v>0.86910451799080202</v>
      </c>
      <c r="G552">
        <v>1.09144196951934</v>
      </c>
      <c r="H552">
        <v>0.94305167282892999</v>
      </c>
      <c r="I552">
        <v>1.03478672558391</v>
      </c>
      <c r="J552">
        <v>0.61243123816394596</v>
      </c>
      <c r="K552">
        <v>0.90923437640905402</v>
      </c>
      <c r="L552">
        <v>15000</v>
      </c>
      <c r="M552">
        <v>229.82856076234901</v>
      </c>
      <c r="O552">
        <v>65.261088253366395</v>
      </c>
      <c r="P552">
        <v>-0.210498364149071</v>
      </c>
      <c r="Q552">
        <v>0.76091127558499805</v>
      </c>
      <c r="R552">
        <v>0.264496162365147</v>
      </c>
      <c r="S552" t="s">
        <v>1878</v>
      </c>
      <c r="T552" t="s">
        <v>2650</v>
      </c>
      <c r="U552" t="s">
        <v>2650</v>
      </c>
      <c r="V552" t="s">
        <v>2650</v>
      </c>
      <c r="W552" t="s">
        <v>3202</v>
      </c>
      <c r="X552">
        <v>1</v>
      </c>
      <c r="Y552" t="s">
        <v>4517</v>
      </c>
      <c r="Z552" t="s">
        <v>5832</v>
      </c>
      <c r="AA552">
        <v>0.96230452101638697</v>
      </c>
      <c r="AB552" t="str">
        <f>HYPERLINK("Melting_Curves/meltCurve_P31431_2_SDC4.pdf", "Melting_Curves/meltCurve_P31431_2_SDC4.pdf")</f>
        <v>Melting_Curves/meltCurve_P31431_2_SDC4.pdf</v>
      </c>
    </row>
    <row r="553" spans="1:28" x14ac:dyDescent="0.25">
      <c r="A553" t="s">
        <v>557</v>
      </c>
      <c r="B553">
        <v>1</v>
      </c>
      <c r="C553">
        <v>0.70270372328373998</v>
      </c>
      <c r="D553">
        <v>1.05660448606601</v>
      </c>
      <c r="E553">
        <v>1.24590287742618</v>
      </c>
      <c r="F553">
        <v>1.58367948040178</v>
      </c>
      <c r="G553">
        <v>1.0223170455403701</v>
      </c>
      <c r="H553">
        <v>1.6878256929235</v>
      </c>
      <c r="I553">
        <v>2.7081791405483</v>
      </c>
      <c r="J553">
        <v>1.29000830752964</v>
      </c>
      <c r="K553">
        <v>2.07401253681746</v>
      </c>
      <c r="L553">
        <v>12501.6389025427</v>
      </c>
      <c r="M553">
        <v>250</v>
      </c>
      <c r="O553">
        <v>50.003355539059797</v>
      </c>
      <c r="P553">
        <v>0.62495805951850802</v>
      </c>
      <c r="Q553">
        <v>1.5</v>
      </c>
      <c r="R553">
        <v>0.316320237966285</v>
      </c>
      <c r="S553" t="s">
        <v>1879</v>
      </c>
      <c r="T553" t="s">
        <v>2650</v>
      </c>
      <c r="U553" t="s">
        <v>2650</v>
      </c>
      <c r="V553" t="s">
        <v>2650</v>
      </c>
      <c r="W553" t="s">
        <v>3203</v>
      </c>
      <c r="X553">
        <v>2</v>
      </c>
      <c r="Y553" t="s">
        <v>4518</v>
      </c>
      <c r="Z553" t="s">
        <v>5833</v>
      </c>
      <c r="AA553">
        <v>1.333180192800409</v>
      </c>
      <c r="AB553" t="str">
        <f>HYPERLINK("Melting_Curves/meltCurve_P31939_2_ATIC.pdf", "Melting_Curves/meltCurve_P31939_2_ATIC.pdf")</f>
        <v>Melting_Curves/meltCurve_P31939_2_ATIC.pdf</v>
      </c>
    </row>
    <row r="554" spans="1:28" x14ac:dyDescent="0.25">
      <c r="A554" t="s">
        <v>558</v>
      </c>
      <c r="B554">
        <v>1</v>
      </c>
      <c r="C554">
        <v>1.12028725314183</v>
      </c>
      <c r="D554">
        <v>1.3973825947273899</v>
      </c>
      <c r="E554">
        <v>1.36506661627138</v>
      </c>
      <c r="F554">
        <v>1.34243598223566</v>
      </c>
      <c r="G554">
        <v>1.2773315694982501</v>
      </c>
      <c r="H554">
        <v>1.18671454219031</v>
      </c>
      <c r="I554">
        <v>1.5457809694793501</v>
      </c>
      <c r="J554">
        <v>0.92218652555986003</v>
      </c>
      <c r="K554">
        <v>1.3333175848058201</v>
      </c>
      <c r="L554">
        <v>10741.3252937336</v>
      </c>
      <c r="M554">
        <v>250</v>
      </c>
      <c r="O554">
        <v>42.962551602165</v>
      </c>
      <c r="P554">
        <v>0.43101060860565699</v>
      </c>
      <c r="Q554">
        <v>1.2962770484067501</v>
      </c>
      <c r="R554">
        <v>0.29274426199255599</v>
      </c>
      <c r="S554" t="s">
        <v>1880</v>
      </c>
      <c r="T554" t="s">
        <v>2650</v>
      </c>
      <c r="U554" t="s">
        <v>2650</v>
      </c>
      <c r="V554" t="s">
        <v>2650</v>
      </c>
      <c r="W554" t="s">
        <v>3204</v>
      </c>
      <c r="X554">
        <v>1</v>
      </c>
      <c r="Y554" t="s">
        <v>4519</v>
      </c>
      <c r="Z554" t="s">
        <v>5834</v>
      </c>
      <c r="AA554">
        <v>1.266969685428355</v>
      </c>
      <c r="AB554" t="str">
        <f>HYPERLINK("Melting_Curves/meltCurve_P31942_6_HNRNPH3.pdf", "Melting_Curves/meltCurve_P31942_6_HNRNPH3.pdf")</f>
        <v>Melting_Curves/meltCurve_P31942_6_HNRNPH3.pdf</v>
      </c>
    </row>
    <row r="555" spans="1:28" x14ac:dyDescent="0.25">
      <c r="A555" t="s">
        <v>559</v>
      </c>
      <c r="B555">
        <v>1</v>
      </c>
      <c r="C555">
        <v>0.82627438047677404</v>
      </c>
      <c r="D555">
        <v>1.3602185998303999</v>
      </c>
      <c r="E555">
        <v>1.8181475548855199</v>
      </c>
      <c r="F555">
        <v>1.36933477810233</v>
      </c>
      <c r="G555">
        <v>1.54951474606615</v>
      </c>
      <c r="H555">
        <v>1.3704654668802401</v>
      </c>
      <c r="I555">
        <v>1.70736361066616</v>
      </c>
      <c r="J555">
        <v>0.90787242061622497</v>
      </c>
      <c r="K555">
        <v>1.2973711485913499</v>
      </c>
      <c r="L555">
        <v>11425.436927553899</v>
      </c>
      <c r="M555">
        <v>250</v>
      </c>
      <c r="O555">
        <v>45.698823152948101</v>
      </c>
      <c r="P555">
        <v>0.59005696789685202</v>
      </c>
      <c r="Q555">
        <v>1.4314385434258701</v>
      </c>
      <c r="R555">
        <v>0.41532647556703201</v>
      </c>
      <c r="S555" t="s">
        <v>1881</v>
      </c>
      <c r="T555" t="s">
        <v>2650</v>
      </c>
      <c r="U555" t="s">
        <v>2650</v>
      </c>
      <c r="V555" t="s">
        <v>2650</v>
      </c>
      <c r="W555" t="s">
        <v>3205</v>
      </c>
      <c r="X555">
        <v>6</v>
      </c>
      <c r="Y555" t="s">
        <v>4520</v>
      </c>
      <c r="Z555" t="s">
        <v>5835</v>
      </c>
      <c r="AA555">
        <v>1.349405481958962</v>
      </c>
      <c r="AB555" t="str">
        <f>HYPERLINK("Melting_Curves/meltCurve_P31944_CASP14.pdf", "Melting_Curves/meltCurve_P31944_CASP14.pdf")</f>
        <v>Melting_Curves/meltCurve_P31944_CASP14.pdf</v>
      </c>
    </row>
    <row r="556" spans="1:28" x14ac:dyDescent="0.25">
      <c r="A556" t="s">
        <v>560</v>
      </c>
      <c r="B556">
        <v>1</v>
      </c>
      <c r="C556">
        <v>0.77891723060905804</v>
      </c>
      <c r="D556">
        <v>1.0697032795419099</v>
      </c>
      <c r="E556">
        <v>1.42894325871942</v>
      </c>
      <c r="F556">
        <v>1.2645497136907899</v>
      </c>
      <c r="G556">
        <v>1.8112441436751701</v>
      </c>
      <c r="H556">
        <v>1.4474752732951599</v>
      </c>
      <c r="I556">
        <v>1.74482040603852</v>
      </c>
      <c r="J556">
        <v>1.0952628839146299</v>
      </c>
      <c r="K556">
        <v>1.5035398230088499</v>
      </c>
      <c r="L556">
        <v>1908.51427855306</v>
      </c>
      <c r="M556">
        <v>39.602378415051099</v>
      </c>
      <c r="O556">
        <v>48.069519247471398</v>
      </c>
      <c r="P556">
        <v>0.100056445245283</v>
      </c>
      <c r="Q556">
        <v>1.48579454540909</v>
      </c>
      <c r="R556">
        <v>0.57448607473746005</v>
      </c>
      <c r="S556" t="s">
        <v>1882</v>
      </c>
      <c r="T556" t="s">
        <v>2650</v>
      </c>
      <c r="U556" t="s">
        <v>2650</v>
      </c>
      <c r="V556" t="s">
        <v>2650</v>
      </c>
      <c r="W556" t="s">
        <v>3206</v>
      </c>
      <c r="X556">
        <v>4</v>
      </c>
      <c r="Y556" t="s">
        <v>4521</v>
      </c>
      <c r="Z556" t="s">
        <v>5836</v>
      </c>
      <c r="AA556">
        <v>1.351486284686523</v>
      </c>
      <c r="AB556" t="str">
        <f>HYPERLINK("Melting_Curves/meltCurve_P31946_2_YWHAB.pdf", "Melting_Curves/meltCurve_P31946_2_YWHAB.pdf")</f>
        <v>Melting_Curves/meltCurve_P31946_2_YWHAB.pdf</v>
      </c>
    </row>
    <row r="557" spans="1:28" x14ac:dyDescent="0.25">
      <c r="A557" t="s">
        <v>561</v>
      </c>
      <c r="B557">
        <v>1</v>
      </c>
      <c r="C557">
        <v>0.66325853658536604</v>
      </c>
      <c r="D557">
        <v>1.1183219512195099</v>
      </c>
      <c r="E557">
        <v>1.33783414634146</v>
      </c>
      <c r="F557">
        <v>0.96027317073170704</v>
      </c>
      <c r="G557">
        <v>0.98821463414634103</v>
      </c>
      <c r="H557">
        <v>0.99293658536585405</v>
      </c>
      <c r="I557">
        <v>1.0698536585365901</v>
      </c>
      <c r="J557">
        <v>0.62825365853658499</v>
      </c>
      <c r="K557">
        <v>0.93108292682926797</v>
      </c>
      <c r="L557">
        <v>15000</v>
      </c>
      <c r="M557">
        <v>229.51078358519999</v>
      </c>
      <c r="O557">
        <v>65.351444360901695</v>
      </c>
      <c r="P557">
        <v>-0.19331425885508299</v>
      </c>
      <c r="Q557">
        <v>0.77982096156305103</v>
      </c>
      <c r="R557">
        <v>0.22805752140701199</v>
      </c>
      <c r="S557" t="s">
        <v>1883</v>
      </c>
      <c r="T557" t="s">
        <v>2650</v>
      </c>
      <c r="U557" t="s">
        <v>2650</v>
      </c>
      <c r="V557" t="s">
        <v>2650</v>
      </c>
      <c r="W557" t="s">
        <v>3207</v>
      </c>
      <c r="X557">
        <v>5</v>
      </c>
      <c r="Y557" t="s">
        <v>4522</v>
      </c>
      <c r="Z557" t="s">
        <v>5837</v>
      </c>
      <c r="AA557">
        <v>0.96594923153225476</v>
      </c>
      <c r="AB557" t="str">
        <f>HYPERLINK("Melting_Curves/meltCurve_P31947_2_SFN.pdf", "Melting_Curves/meltCurve_P31947_2_SFN.pdf")</f>
        <v>Melting_Curves/meltCurve_P31947_2_SFN.pdf</v>
      </c>
    </row>
    <row r="558" spans="1:28" x14ac:dyDescent="0.25">
      <c r="A558" t="s">
        <v>562</v>
      </c>
      <c r="B558">
        <v>1</v>
      </c>
      <c r="C558">
        <v>0.71311064595064699</v>
      </c>
      <c r="D558">
        <v>1.0770364692355301</v>
      </c>
      <c r="E558">
        <v>1.23603290191338</v>
      </c>
      <c r="F558">
        <v>0.94861287184174103</v>
      </c>
      <c r="G558">
        <v>0.98593708540935798</v>
      </c>
      <c r="H558">
        <v>0.88295645508417098</v>
      </c>
      <c r="I558">
        <v>1.0512397181520701</v>
      </c>
      <c r="J558">
        <v>0.63934667885256002</v>
      </c>
      <c r="K558">
        <v>0.90073410183083202</v>
      </c>
      <c r="L558">
        <v>15000</v>
      </c>
      <c r="M558">
        <v>229.585827038773</v>
      </c>
      <c r="O558">
        <v>65.330102483904994</v>
      </c>
      <c r="P558">
        <v>-0.20198435186344099</v>
      </c>
      <c r="Q558">
        <v>0.77009634713861197</v>
      </c>
      <c r="R558">
        <v>0.27089031418494203</v>
      </c>
      <c r="S558" t="s">
        <v>1884</v>
      </c>
      <c r="T558" t="s">
        <v>2650</v>
      </c>
      <c r="U558" t="s">
        <v>2650</v>
      </c>
      <c r="V558" t="s">
        <v>2650</v>
      </c>
      <c r="W558" t="s">
        <v>3208</v>
      </c>
      <c r="X558">
        <v>8</v>
      </c>
      <c r="Y558" t="s">
        <v>4523</v>
      </c>
      <c r="Z558" t="s">
        <v>5838</v>
      </c>
      <c r="AA558">
        <v>0.96428157373586598</v>
      </c>
      <c r="AB558" t="str">
        <f>HYPERLINK("Melting_Curves/meltCurve_P31948_STIP1.pdf", "Melting_Curves/meltCurve_P31948_STIP1.pdf")</f>
        <v>Melting_Curves/meltCurve_P31948_STIP1.pdf</v>
      </c>
    </row>
    <row r="559" spans="1:28" x14ac:dyDescent="0.25">
      <c r="A559" t="s">
        <v>563</v>
      </c>
      <c r="B559">
        <v>1</v>
      </c>
      <c r="C559">
        <v>0.83129849383843002</v>
      </c>
      <c r="D559">
        <v>1.04273162939297</v>
      </c>
      <c r="E559">
        <v>1.0977863989046099</v>
      </c>
      <c r="F559">
        <v>0.94631446827932497</v>
      </c>
      <c r="G559">
        <v>1.15606458238247</v>
      </c>
      <c r="H559">
        <v>0.94060931081697896</v>
      </c>
      <c r="I559">
        <v>1.0010839799178499</v>
      </c>
      <c r="J559">
        <v>0.80596759470561397</v>
      </c>
      <c r="K559">
        <v>0.98916020082154299</v>
      </c>
      <c r="L559">
        <v>15000</v>
      </c>
      <c r="M559">
        <v>230.752176284</v>
      </c>
      <c r="O559">
        <v>64.999921346869201</v>
      </c>
      <c r="P559">
        <v>-9.0874657583544294E-2</v>
      </c>
      <c r="Q559">
        <v>0.89760710942997102</v>
      </c>
      <c r="R559">
        <v>0.16584842879771899</v>
      </c>
      <c r="S559" t="s">
        <v>1885</v>
      </c>
      <c r="T559" t="s">
        <v>2650</v>
      </c>
      <c r="U559" t="s">
        <v>2650</v>
      </c>
      <c r="V559" t="s">
        <v>2650</v>
      </c>
      <c r="W559" t="s">
        <v>3209</v>
      </c>
      <c r="X559">
        <v>6</v>
      </c>
      <c r="Y559" t="s">
        <v>4524</v>
      </c>
      <c r="Z559" t="s">
        <v>5839</v>
      </c>
      <c r="AA559">
        <v>0.98296462656689398</v>
      </c>
      <c r="AB559" t="str">
        <f>HYPERLINK("Melting_Curves/meltCurve_P31949_S100A11.pdf", "Melting_Curves/meltCurve_P31949_S100A11.pdf")</f>
        <v>Melting_Curves/meltCurve_P31949_S100A11.pdf</v>
      </c>
    </row>
    <row r="560" spans="1:28" x14ac:dyDescent="0.25">
      <c r="A560" t="s">
        <v>564</v>
      </c>
      <c r="B560">
        <v>1</v>
      </c>
      <c r="C560">
        <v>0.82652604093335202</v>
      </c>
      <c r="D560">
        <v>1.1981901263327699</v>
      </c>
      <c r="E560">
        <v>1.49192980659695</v>
      </c>
      <c r="F560">
        <v>1.09106966861648</v>
      </c>
      <c r="G560">
        <v>1.20122364867459</v>
      </c>
      <c r="H560">
        <v>1.05391221984717</v>
      </c>
      <c r="I560">
        <v>1.2735417973299901</v>
      </c>
      <c r="J560">
        <v>0.82391490777836096</v>
      </c>
      <c r="K560">
        <v>1.1685716845648799</v>
      </c>
      <c r="L560">
        <v>11135.799865453901</v>
      </c>
      <c r="M560">
        <v>250</v>
      </c>
      <c r="O560">
        <v>44.5403491049858</v>
      </c>
      <c r="P560">
        <v>0.228442584337711</v>
      </c>
      <c r="Q560">
        <v>1.1627985987075899</v>
      </c>
      <c r="R560">
        <v>0.22865003585344901</v>
      </c>
      <c r="S560" t="s">
        <v>1886</v>
      </c>
      <c r="T560" t="s">
        <v>2650</v>
      </c>
      <c r="U560" t="s">
        <v>2650</v>
      </c>
      <c r="V560" t="s">
        <v>2650</v>
      </c>
      <c r="W560" t="s">
        <v>3210</v>
      </c>
      <c r="X560">
        <v>12</v>
      </c>
      <c r="Y560" t="s">
        <v>4525</v>
      </c>
      <c r="Z560" t="s">
        <v>5840</v>
      </c>
      <c r="AA560">
        <v>1.1381316554465459</v>
      </c>
      <c r="AB560" t="str">
        <f>HYPERLINK("Melting_Curves/meltCurve_P32119_PRDX2.pdf", "Melting_Curves/meltCurve_P32119_PRDX2.pdf")</f>
        <v>Melting_Curves/meltCurve_P32119_PRDX2.pdf</v>
      </c>
    </row>
    <row r="561" spans="1:28" x14ac:dyDescent="0.25">
      <c r="A561" t="s">
        <v>565</v>
      </c>
      <c r="B561">
        <v>1</v>
      </c>
      <c r="C561">
        <v>0.84143556280587295</v>
      </c>
      <c r="D561">
        <v>1.3468189233279</v>
      </c>
      <c r="E561">
        <v>1.7945840130505699</v>
      </c>
      <c r="F561">
        <v>1.6330179445350701</v>
      </c>
      <c r="G561">
        <v>1.48345840130506</v>
      </c>
      <c r="H561">
        <v>1.5044698205546501</v>
      </c>
      <c r="I561">
        <v>2.1083197389885799</v>
      </c>
      <c r="J561">
        <v>1.2430016313213701</v>
      </c>
      <c r="K561">
        <v>1.88306688417618</v>
      </c>
      <c r="L561">
        <v>11462.409635620999</v>
      </c>
      <c r="M561">
        <v>250</v>
      </c>
      <c r="O561">
        <v>45.846712998629002</v>
      </c>
      <c r="P561">
        <v>0.68161933079390102</v>
      </c>
      <c r="Q561">
        <v>1.5</v>
      </c>
      <c r="R561">
        <v>0.48802543996166298</v>
      </c>
      <c r="S561" t="s">
        <v>1887</v>
      </c>
      <c r="T561" t="s">
        <v>2650</v>
      </c>
      <c r="U561" t="s">
        <v>2650</v>
      </c>
      <c r="V561" t="s">
        <v>2650</v>
      </c>
      <c r="W561" t="s">
        <v>3211</v>
      </c>
      <c r="X561">
        <v>1</v>
      </c>
      <c r="Y561" t="s">
        <v>4526</v>
      </c>
      <c r="Z561" t="s">
        <v>5841</v>
      </c>
      <c r="AA561">
        <v>1.402465791590902</v>
      </c>
      <c r="AB561" t="str">
        <f>HYPERLINK("Melting_Curves/meltCurve_P32321_DCTD.pdf", "Melting_Curves/meltCurve_P32321_DCTD.pdf")</f>
        <v>Melting_Curves/meltCurve_P32321_DCTD.pdf</v>
      </c>
    </row>
    <row r="562" spans="1:28" x14ac:dyDescent="0.25">
      <c r="A562" t="s">
        <v>566</v>
      </c>
      <c r="B562">
        <v>1</v>
      </c>
      <c r="C562">
        <v>0.90644456219366798</v>
      </c>
      <c r="D562">
        <v>1.15061597562591</v>
      </c>
      <c r="E562">
        <v>1.26553185852431</v>
      </c>
      <c r="F562">
        <v>1.0390449066101499</v>
      </c>
      <c r="G562">
        <v>0.99701947277785097</v>
      </c>
      <c r="H562">
        <v>0.85193403099748299</v>
      </c>
      <c r="I562">
        <v>0.97721552523513</v>
      </c>
      <c r="J562">
        <v>0.69284011127301603</v>
      </c>
      <c r="K562">
        <v>0.94800635845807402</v>
      </c>
      <c r="L562">
        <v>14464.955844514699</v>
      </c>
      <c r="M562">
        <v>250</v>
      </c>
      <c r="O562">
        <v>57.856114083027499</v>
      </c>
      <c r="P562">
        <v>-0.14313638909358101</v>
      </c>
      <c r="Q562">
        <v>0.86749894078860301</v>
      </c>
      <c r="R562">
        <v>0.305854832549386</v>
      </c>
      <c r="S562" t="s">
        <v>1888</v>
      </c>
      <c r="T562" t="s">
        <v>2650</v>
      </c>
      <c r="U562" t="s">
        <v>2650</v>
      </c>
      <c r="V562" t="s">
        <v>2650</v>
      </c>
      <c r="W562" t="s">
        <v>3212</v>
      </c>
      <c r="X562">
        <v>3</v>
      </c>
      <c r="Y562" t="s">
        <v>4527</v>
      </c>
      <c r="Z562" t="s">
        <v>5842</v>
      </c>
      <c r="AA562">
        <v>0.94639391251956606</v>
      </c>
      <c r="AB562" t="str">
        <f>HYPERLINK("Melting_Curves/meltCurve_P33176_KIF5B.pdf", "Melting_Curves/meltCurve_P33176_KIF5B.pdf")</f>
        <v>Melting_Curves/meltCurve_P33176_KIF5B.pdf</v>
      </c>
    </row>
    <row r="563" spans="1:28" x14ac:dyDescent="0.25">
      <c r="A563" t="s">
        <v>567</v>
      </c>
      <c r="B563">
        <v>1</v>
      </c>
      <c r="C563">
        <v>0.79759430008382204</v>
      </c>
      <c r="D563">
        <v>1.0642917015926201</v>
      </c>
      <c r="E563">
        <v>1.22347024308466</v>
      </c>
      <c r="F563">
        <v>1.10846605196982</v>
      </c>
      <c r="G563">
        <v>0.87921207041072902</v>
      </c>
      <c r="H563">
        <v>0.98256496227996604</v>
      </c>
      <c r="I563">
        <v>1.0014249790444301</v>
      </c>
      <c r="J563">
        <v>0.70471081307627803</v>
      </c>
      <c r="K563">
        <v>1.2405699916177699</v>
      </c>
      <c r="L563">
        <v>15000</v>
      </c>
      <c r="M563">
        <v>214.20964056220399</v>
      </c>
      <c r="Q563">
        <v>1.5</v>
      </c>
      <c r="R563">
        <v>0.21687116755701899</v>
      </c>
      <c r="S563" t="s">
        <v>1889</v>
      </c>
      <c r="T563" t="s">
        <v>2650</v>
      </c>
      <c r="U563" t="s">
        <v>2650</v>
      </c>
      <c r="V563" t="s">
        <v>2650</v>
      </c>
      <c r="W563" t="s">
        <v>3213</v>
      </c>
      <c r="X563">
        <v>1</v>
      </c>
      <c r="Y563" t="s">
        <v>4528</v>
      </c>
      <c r="Z563" t="s">
        <v>5843</v>
      </c>
      <c r="AA563">
        <v>1.0035320495173401</v>
      </c>
      <c r="AB563" t="str">
        <f>HYPERLINK("Melting_Curves/meltCurve_P33240_2_CSTF2.pdf", "Melting_Curves/meltCurve_P33240_2_CSTF2.pdf")</f>
        <v>Melting_Curves/meltCurve_P33240_2_CSTF2.pdf</v>
      </c>
    </row>
    <row r="564" spans="1:28" x14ac:dyDescent="0.25">
      <c r="A564" t="s">
        <v>568</v>
      </c>
      <c r="B564">
        <v>1</v>
      </c>
      <c r="C564">
        <v>0.92633778640196995</v>
      </c>
      <c r="D564">
        <v>1.21431947657785</v>
      </c>
      <c r="E564">
        <v>1.4856083787347301</v>
      </c>
      <c r="F564">
        <v>1.2063338060054201</v>
      </c>
      <c r="G564">
        <v>1.2659899992536801</v>
      </c>
      <c r="H564">
        <v>1.2429036992810401</v>
      </c>
      <c r="I564">
        <v>1.55713112918875</v>
      </c>
      <c r="J564">
        <v>1.05647187601065</v>
      </c>
      <c r="K564">
        <v>1.4493618926785601</v>
      </c>
      <c r="L564">
        <v>11468.9325076817</v>
      </c>
      <c r="M564">
        <v>250</v>
      </c>
      <c r="O564">
        <v>45.8727921587993</v>
      </c>
      <c r="P564">
        <v>0.44062079346388799</v>
      </c>
      <c r="Q564">
        <v>1.32340011191532</v>
      </c>
      <c r="R564">
        <v>0.50370324946092404</v>
      </c>
      <c r="S564" t="s">
        <v>1890</v>
      </c>
      <c r="T564" t="s">
        <v>2650</v>
      </c>
      <c r="U564" t="s">
        <v>2650</v>
      </c>
      <c r="V564" t="s">
        <v>2650</v>
      </c>
      <c r="W564" t="s">
        <v>3214</v>
      </c>
      <c r="X564">
        <v>4</v>
      </c>
      <c r="Y564" t="s">
        <v>4529</v>
      </c>
      <c r="Z564" t="s">
        <v>5844</v>
      </c>
      <c r="AA564">
        <v>1.260033682936037</v>
      </c>
      <c r="AB564" t="str">
        <f>HYPERLINK("Melting_Curves/meltCurve_P34059_GALNS.pdf", "Melting_Curves/meltCurve_P34059_GALNS.pdf")</f>
        <v>Melting_Curves/meltCurve_P34059_GALNS.pdf</v>
      </c>
    </row>
    <row r="565" spans="1:28" x14ac:dyDescent="0.25">
      <c r="A565" t="s">
        <v>569</v>
      </c>
      <c r="B565">
        <v>1</v>
      </c>
      <c r="C565">
        <v>0.73173065422796302</v>
      </c>
      <c r="D565">
        <v>1.4034804449228599</v>
      </c>
      <c r="E565">
        <v>1.8858988159311101</v>
      </c>
      <c r="F565">
        <v>1.49994019854084</v>
      </c>
      <c r="G565">
        <v>1.6515966989594499</v>
      </c>
      <c r="H565">
        <v>1.55669178327951</v>
      </c>
      <c r="I565">
        <v>1.6492644420523901</v>
      </c>
      <c r="J565">
        <v>1.08898457122354</v>
      </c>
      <c r="K565">
        <v>1.4504245903599999</v>
      </c>
      <c r="L565">
        <v>11434.202481345201</v>
      </c>
      <c r="M565">
        <v>250</v>
      </c>
      <c r="O565">
        <v>45.733859722379101</v>
      </c>
      <c r="P565">
        <v>0.68330082226799804</v>
      </c>
      <c r="Q565">
        <v>1.5</v>
      </c>
      <c r="R565">
        <v>0.59977693380495201</v>
      </c>
      <c r="S565" t="s">
        <v>1891</v>
      </c>
      <c r="T565" t="s">
        <v>2650</v>
      </c>
      <c r="U565" t="s">
        <v>2650</v>
      </c>
      <c r="V565" t="s">
        <v>2650</v>
      </c>
      <c r="W565" t="s">
        <v>3215</v>
      </c>
      <c r="X565">
        <v>5</v>
      </c>
      <c r="Y565" t="s">
        <v>4530</v>
      </c>
      <c r="Z565" t="s">
        <v>5845</v>
      </c>
      <c r="AA565">
        <v>1.404346367548853</v>
      </c>
      <c r="AB565" t="str">
        <f>HYPERLINK("Melting_Curves/meltCurve_P34096_RNASE4.pdf", "Melting_Curves/meltCurve_P34096_RNASE4.pdf")</f>
        <v>Melting_Curves/meltCurve_P34096_RNASE4.pdf</v>
      </c>
    </row>
    <row r="566" spans="1:28" x14ac:dyDescent="0.25">
      <c r="A566" t="s">
        <v>570</v>
      </c>
      <c r="B566">
        <v>1</v>
      </c>
      <c r="C566">
        <v>1.0129763130792999</v>
      </c>
      <c r="D566">
        <v>1.3873841400617899</v>
      </c>
      <c r="E566">
        <v>1.7756436663233801</v>
      </c>
      <c r="F566">
        <v>1.55597322348095</v>
      </c>
      <c r="G566">
        <v>1.98542739443872</v>
      </c>
      <c r="H566">
        <v>1.91627188465499</v>
      </c>
      <c r="I566">
        <v>2.7766220391349101</v>
      </c>
      <c r="J566">
        <v>1.79660144181256</v>
      </c>
      <c r="K566">
        <v>2.4061791967044299</v>
      </c>
      <c r="L566">
        <v>4643.3156613300598</v>
      </c>
      <c r="M566">
        <v>102.180537930296</v>
      </c>
      <c r="O566">
        <v>45.424873296737097</v>
      </c>
      <c r="P566">
        <v>0.281180049531215</v>
      </c>
      <c r="Q566">
        <v>1.5</v>
      </c>
      <c r="R566">
        <v>-6.4384350938540696E-2</v>
      </c>
      <c r="S566" t="s">
        <v>1892</v>
      </c>
      <c r="T566" t="s">
        <v>2650</v>
      </c>
      <c r="U566" t="s">
        <v>2650</v>
      </c>
      <c r="V566" t="s">
        <v>2650</v>
      </c>
      <c r="W566" t="s">
        <v>3216</v>
      </c>
      <c r="X566">
        <v>1</v>
      </c>
      <c r="Y566" t="s">
        <v>4531</v>
      </c>
      <c r="Z566" t="s">
        <v>5846</v>
      </c>
      <c r="AA566">
        <v>1.409056522761108</v>
      </c>
      <c r="AB566" t="str">
        <f>HYPERLINK("Melting_Curves/meltCurve_P34913_3_EPHX2.pdf", "Melting_Curves/meltCurve_P34913_3_EPHX2.pdf")</f>
        <v>Melting_Curves/meltCurve_P34913_3_EPHX2.pdf</v>
      </c>
    </row>
    <row r="567" spans="1:28" x14ac:dyDescent="0.25">
      <c r="A567" t="s">
        <v>571</v>
      </c>
      <c r="B567">
        <v>1</v>
      </c>
      <c r="C567">
        <v>0.67571489162220699</v>
      </c>
      <c r="D567">
        <v>1.03015826952698</v>
      </c>
      <c r="E567">
        <v>1.2116882826975</v>
      </c>
      <c r="F567">
        <v>0.89349733241065299</v>
      </c>
      <c r="G567">
        <v>0.97008728263053301</v>
      </c>
      <c r="H567">
        <v>0.91648994352300395</v>
      </c>
      <c r="I567">
        <v>1.1445409290800701</v>
      </c>
      <c r="J567">
        <v>0.60499587025916901</v>
      </c>
      <c r="K567">
        <v>0.94908141170167604</v>
      </c>
      <c r="L567">
        <v>15000</v>
      </c>
      <c r="M567">
        <v>229.215209166004</v>
      </c>
      <c r="O567">
        <v>65.435677862747795</v>
      </c>
      <c r="P567">
        <v>-0.194992234160969</v>
      </c>
      <c r="Q567">
        <v>0.77733669949786799</v>
      </c>
      <c r="R567">
        <v>0.19873132139782099</v>
      </c>
      <c r="S567" t="s">
        <v>1893</v>
      </c>
      <c r="T567" t="s">
        <v>2650</v>
      </c>
      <c r="U567" t="s">
        <v>2650</v>
      </c>
      <c r="V567" t="s">
        <v>2650</v>
      </c>
      <c r="W567" t="s">
        <v>3217</v>
      </c>
      <c r="X567">
        <v>2</v>
      </c>
      <c r="Y567" t="s">
        <v>4532</v>
      </c>
      <c r="Z567" t="s">
        <v>5847</v>
      </c>
      <c r="AA567">
        <v>0.96619067347787346</v>
      </c>
      <c r="AB567" t="str">
        <f>HYPERLINK("Melting_Curves/meltCurve_P34932_HSPA4.pdf", "Melting_Curves/meltCurve_P34932_HSPA4.pdf")</f>
        <v>Melting_Curves/meltCurve_P34932_HSPA4.pdf</v>
      </c>
    </row>
    <row r="568" spans="1:28" x14ac:dyDescent="0.25">
      <c r="A568" t="s">
        <v>572</v>
      </c>
      <c r="B568">
        <v>1</v>
      </c>
      <c r="C568">
        <v>0.864220514052366</v>
      </c>
      <c r="D568">
        <v>1.1433461446072499</v>
      </c>
      <c r="E568">
        <v>1.42631515733846</v>
      </c>
      <c r="F568">
        <v>1.1147609896709101</v>
      </c>
      <c r="G568">
        <v>1.15463607975018</v>
      </c>
      <c r="H568">
        <v>1.0411361998558699</v>
      </c>
      <c r="I568">
        <v>1.2438746096565001</v>
      </c>
      <c r="J568">
        <v>0.79720153735287003</v>
      </c>
      <c r="K568">
        <v>1.1339779005524899</v>
      </c>
      <c r="L568">
        <v>11155.388456229201</v>
      </c>
      <c r="M568">
        <v>250</v>
      </c>
      <c r="O568">
        <v>44.618691040695502</v>
      </c>
      <c r="P568">
        <v>0.18479506080316899</v>
      </c>
      <c r="Q568">
        <v>1.1319250410681301</v>
      </c>
      <c r="R568">
        <v>0.18618618209520901</v>
      </c>
      <c r="S568" t="s">
        <v>1894</v>
      </c>
      <c r="T568" t="s">
        <v>2650</v>
      </c>
      <c r="U568" t="s">
        <v>2650</v>
      </c>
      <c r="V568" t="s">
        <v>2650</v>
      </c>
      <c r="W568" t="s">
        <v>3218</v>
      </c>
      <c r="X568">
        <v>11</v>
      </c>
      <c r="Y568" t="s">
        <v>4533</v>
      </c>
      <c r="Z568" t="s">
        <v>5848</v>
      </c>
      <c r="AA568">
        <v>1.111591420728993</v>
      </c>
      <c r="AB568" t="str">
        <f>HYPERLINK("Melting_Curves/meltCurve_P35052_GPC1.pdf", "Melting_Curves/meltCurve_P35052_GPC1.pdf")</f>
        <v>Melting_Curves/meltCurve_P35052_GPC1.pdf</v>
      </c>
    </row>
    <row r="569" spans="1:28" x14ac:dyDescent="0.25">
      <c r="A569" t="s">
        <v>573</v>
      </c>
      <c r="B569">
        <v>1</v>
      </c>
      <c r="C569">
        <v>1.0030730688935301</v>
      </c>
      <c r="D569">
        <v>1.2554822546972899</v>
      </c>
      <c r="E569">
        <v>1.1670480167014601</v>
      </c>
      <c r="F569">
        <v>1.45187473903967</v>
      </c>
      <c r="G569">
        <v>1.7523173277661801</v>
      </c>
      <c r="H569">
        <v>1.3849686847599201</v>
      </c>
      <c r="I569">
        <v>1.8289770354906101</v>
      </c>
      <c r="J569">
        <v>1.1593152400835101</v>
      </c>
      <c r="K569">
        <v>1.58288100208768</v>
      </c>
      <c r="L569">
        <v>67.939471496689706</v>
      </c>
      <c r="M569">
        <v>19.042291407911801</v>
      </c>
      <c r="Q569">
        <v>1.3585937276451201</v>
      </c>
      <c r="R569">
        <v>8.7816000027274299E-9</v>
      </c>
      <c r="S569" t="s">
        <v>1895</v>
      </c>
      <c r="T569" t="s">
        <v>2650</v>
      </c>
      <c r="U569" t="s">
        <v>2650</v>
      </c>
      <c r="V569" t="s">
        <v>2650</v>
      </c>
      <c r="W569" t="s">
        <v>3219</v>
      </c>
      <c r="X569">
        <v>5</v>
      </c>
      <c r="Y569" t="s">
        <v>4534</v>
      </c>
      <c r="Z569" t="s">
        <v>5849</v>
      </c>
      <c r="AA569">
        <v>1.358593720655636</v>
      </c>
      <c r="AB569" t="str">
        <f>HYPERLINK("Melting_Curves/meltCurve_P35237_SERPINB6.pdf", "Melting_Curves/meltCurve_P35237_SERPINB6.pdf")</f>
        <v>Melting_Curves/meltCurve_P35237_SERPINB6.pdf</v>
      </c>
    </row>
    <row r="570" spans="1:28" x14ac:dyDescent="0.25">
      <c r="A570" t="s">
        <v>574</v>
      </c>
      <c r="B570">
        <v>1</v>
      </c>
      <c r="C570">
        <v>0.98830842089684801</v>
      </c>
      <c r="D570">
        <v>1.3222583986976499</v>
      </c>
      <c r="E570">
        <v>2.0206452567707598</v>
      </c>
      <c r="F570">
        <v>1.8999556015983401</v>
      </c>
      <c r="G570">
        <v>2.1804795027378998</v>
      </c>
      <c r="H570">
        <v>1.8224803907059299</v>
      </c>
      <c r="I570">
        <v>2.1872872576587201</v>
      </c>
      <c r="J570">
        <v>1.61143998816043</v>
      </c>
      <c r="K570">
        <v>2.1035962705342599</v>
      </c>
      <c r="L570">
        <v>11472.628946716701</v>
      </c>
      <c r="M570">
        <v>250</v>
      </c>
      <c r="O570">
        <v>45.887587536522702</v>
      </c>
      <c r="P570">
        <v>0.68101217441100104</v>
      </c>
      <c r="Q570">
        <v>1.5</v>
      </c>
      <c r="R570">
        <v>4.4898474705698202E-2</v>
      </c>
      <c r="S570" t="s">
        <v>1896</v>
      </c>
      <c r="T570" t="s">
        <v>2650</v>
      </c>
      <c r="U570" t="s">
        <v>2650</v>
      </c>
      <c r="V570" t="s">
        <v>2650</v>
      </c>
      <c r="W570" t="s">
        <v>3220</v>
      </c>
      <c r="X570">
        <v>8</v>
      </c>
      <c r="Y570" t="s">
        <v>4535</v>
      </c>
      <c r="Z570" t="s">
        <v>5850</v>
      </c>
      <c r="AA570">
        <v>1.4017844683150571</v>
      </c>
      <c r="AB570" t="str">
        <f>HYPERLINK("Melting_Curves/meltCurve_P35241_RDX.pdf", "Melting_Curves/meltCurve_P35241_RDX.pdf")</f>
        <v>Melting_Curves/meltCurve_P35241_RDX.pdf</v>
      </c>
    </row>
    <row r="571" spans="1:28" x14ac:dyDescent="0.25">
      <c r="A571" t="s">
        <v>575</v>
      </c>
      <c r="B571">
        <v>1</v>
      </c>
      <c r="C571">
        <v>0.80379001883239198</v>
      </c>
      <c r="D571">
        <v>1.0302495291902101</v>
      </c>
      <c r="E571">
        <v>1.4943502824858801</v>
      </c>
      <c r="F571">
        <v>1.3181497175141199</v>
      </c>
      <c r="G571">
        <v>1.3576388888888899</v>
      </c>
      <c r="H571">
        <v>1.3875941619585701</v>
      </c>
      <c r="I571">
        <v>1.9210216572504699</v>
      </c>
      <c r="J571">
        <v>1.4736935028248599</v>
      </c>
      <c r="K571">
        <v>2.0841572504708101</v>
      </c>
      <c r="L571">
        <v>3980.5612967222901</v>
      </c>
      <c r="M571">
        <v>83.775361685329301</v>
      </c>
      <c r="O571">
        <v>47.487648061108601</v>
      </c>
      <c r="P571">
        <v>0.220518852199384</v>
      </c>
      <c r="Q571">
        <v>1.5</v>
      </c>
      <c r="R571">
        <v>0.55863626648590403</v>
      </c>
      <c r="S571" t="s">
        <v>1897</v>
      </c>
      <c r="T571" t="s">
        <v>2650</v>
      </c>
      <c r="U571" t="s">
        <v>2650</v>
      </c>
      <c r="V571" t="s">
        <v>2650</v>
      </c>
      <c r="W571" t="s">
        <v>3221</v>
      </c>
      <c r="X571">
        <v>3</v>
      </c>
      <c r="Y571" t="s">
        <v>4536</v>
      </c>
      <c r="Z571" t="s">
        <v>5851</v>
      </c>
      <c r="AA571">
        <v>1.374383028759621</v>
      </c>
      <c r="AB571" t="str">
        <f>HYPERLINK("Melting_Curves/meltCurve_P35270_SPR.pdf", "Melting_Curves/meltCurve_P35270_SPR.pdf")</f>
        <v>Melting_Curves/meltCurve_P35270_SPR.pdf</v>
      </c>
    </row>
    <row r="572" spans="1:28" x14ac:dyDescent="0.25">
      <c r="A572" t="s">
        <v>576</v>
      </c>
      <c r="B572">
        <v>1</v>
      </c>
      <c r="C572">
        <v>0.83605988785478902</v>
      </c>
      <c r="D572">
        <v>0.65402624429157796</v>
      </c>
      <c r="E572">
        <v>0.63616394011214505</v>
      </c>
      <c r="F572">
        <v>0.85958725937915503</v>
      </c>
      <c r="G572">
        <v>0.67894097924735497</v>
      </c>
      <c r="H572">
        <v>0.65113590380946895</v>
      </c>
      <c r="I572">
        <v>0.63171281576969796</v>
      </c>
      <c r="J572">
        <v>0.88536909647956497</v>
      </c>
      <c r="K572">
        <v>0.54281172322099502</v>
      </c>
      <c r="L572">
        <v>10719.314482178601</v>
      </c>
      <c r="M572">
        <v>250</v>
      </c>
      <c r="O572">
        <v>42.874514082939598</v>
      </c>
      <c r="P572">
        <v>-0.44830173666544798</v>
      </c>
      <c r="Q572">
        <v>0.692468494510181</v>
      </c>
      <c r="R572">
        <v>0.49240905059712697</v>
      </c>
      <c r="S572" t="s">
        <v>1898</v>
      </c>
      <c r="T572" t="s">
        <v>2650</v>
      </c>
      <c r="U572" t="s">
        <v>2650</v>
      </c>
      <c r="V572" t="s">
        <v>2650</v>
      </c>
      <c r="W572" t="s">
        <v>3222</v>
      </c>
      <c r="X572">
        <v>1</v>
      </c>
      <c r="Y572" t="s">
        <v>4537</v>
      </c>
      <c r="Z572" t="s">
        <v>5852</v>
      </c>
      <c r="AA572">
        <v>0.7219865513641418</v>
      </c>
      <c r="AB572" t="str">
        <f>HYPERLINK("Melting_Curves/meltCurve_P35398_4_RORA.pdf", "Melting_Curves/meltCurve_P35398_4_RORA.pdf")</f>
        <v>Melting_Curves/meltCurve_P35398_4_RORA.pdf</v>
      </c>
    </row>
    <row r="573" spans="1:28" x14ac:dyDescent="0.25">
      <c r="A573" t="s">
        <v>577</v>
      </c>
      <c r="B573">
        <v>1</v>
      </c>
      <c r="C573">
        <v>0.80432507847924695</v>
      </c>
      <c r="D573">
        <v>1.23133937914196</v>
      </c>
      <c r="E573">
        <v>1.4802929891873</v>
      </c>
      <c r="F573">
        <v>1.16367282874084</v>
      </c>
      <c r="G573">
        <v>1.1779298918730401</v>
      </c>
      <c r="H573">
        <v>1.14727938611789</v>
      </c>
      <c r="I573">
        <v>1.4600191838158401</v>
      </c>
      <c r="J573">
        <v>0.82778165329612796</v>
      </c>
      <c r="K573">
        <v>1.23151377746774</v>
      </c>
      <c r="L573">
        <v>11155.4853089635</v>
      </c>
      <c r="M573">
        <v>250</v>
      </c>
      <c r="O573">
        <v>44.619063165055998</v>
      </c>
      <c r="P573">
        <v>0.30114835159847497</v>
      </c>
      <c r="Q573">
        <v>1.21499142647483</v>
      </c>
      <c r="R573">
        <v>0.29538891743144502</v>
      </c>
      <c r="S573" t="s">
        <v>1899</v>
      </c>
      <c r="T573" t="s">
        <v>2650</v>
      </c>
      <c r="U573" t="s">
        <v>2650</v>
      </c>
      <c r="V573" t="s">
        <v>2650</v>
      </c>
      <c r="W573" t="s">
        <v>3223</v>
      </c>
      <c r="X573">
        <v>7</v>
      </c>
      <c r="Y573" t="s">
        <v>4538</v>
      </c>
      <c r="Z573" t="s">
        <v>5853</v>
      </c>
      <c r="AA573">
        <v>1.181851999008928</v>
      </c>
      <c r="AB573" t="str">
        <f>HYPERLINK("Melting_Curves/meltCurve_P35443_THBS4.pdf", "Melting_Curves/meltCurve_P35443_THBS4.pdf")</f>
        <v>Melting_Curves/meltCurve_P35443_THBS4.pdf</v>
      </c>
    </row>
    <row r="574" spans="1:28" x14ac:dyDescent="0.25">
      <c r="A574" t="s">
        <v>578</v>
      </c>
      <c r="B574">
        <v>1</v>
      </c>
      <c r="C574">
        <v>0.82767691024571799</v>
      </c>
      <c r="D574">
        <v>1.25105857445307</v>
      </c>
      <c r="E574">
        <v>1.5374190030153301</v>
      </c>
      <c r="F574">
        <v>1.74183614550587</v>
      </c>
      <c r="G574">
        <v>2.37425418618079</v>
      </c>
      <c r="H574">
        <v>2.4398537242573899</v>
      </c>
      <c r="I574">
        <v>3.15775967152114</v>
      </c>
      <c r="J574">
        <v>2.1315840123179601</v>
      </c>
      <c r="K574">
        <v>3.12680438827228</v>
      </c>
      <c r="L574">
        <v>11499.610446099399</v>
      </c>
      <c r="M574">
        <v>250</v>
      </c>
      <c r="O574">
        <v>45.995498202740997</v>
      </c>
      <c r="P574">
        <v>0.67941431807233599</v>
      </c>
      <c r="Q574">
        <v>1.5</v>
      </c>
      <c r="R574">
        <v>-0.222554055000314</v>
      </c>
      <c r="S574" t="s">
        <v>1900</v>
      </c>
      <c r="T574" t="s">
        <v>2650</v>
      </c>
      <c r="U574" t="s">
        <v>2650</v>
      </c>
      <c r="V574" t="s">
        <v>2650</v>
      </c>
      <c r="W574" t="s">
        <v>3224</v>
      </c>
      <c r="X574">
        <v>10</v>
      </c>
      <c r="Y574" t="s">
        <v>4539</v>
      </c>
      <c r="Z574" t="s">
        <v>5854</v>
      </c>
      <c r="AA574">
        <v>1.3999856069853209</v>
      </c>
      <c r="AB574" t="str">
        <f>HYPERLINK("Melting_Curves/meltCurve_P35475_IDUA.pdf", "Melting_Curves/meltCurve_P35475_IDUA.pdf")</f>
        <v>Melting_Curves/meltCurve_P35475_IDUA.pdf</v>
      </c>
    </row>
    <row r="575" spans="1:28" x14ac:dyDescent="0.25">
      <c r="A575" t="s">
        <v>579</v>
      </c>
      <c r="B575">
        <v>1</v>
      </c>
      <c r="C575">
        <v>0.71800423344420905</v>
      </c>
      <c r="D575">
        <v>1.12211672210463</v>
      </c>
      <c r="E575">
        <v>1.2849107952827299</v>
      </c>
      <c r="F575">
        <v>0.89728454792863599</v>
      </c>
      <c r="G575">
        <v>0.94074387662533998</v>
      </c>
      <c r="H575">
        <v>0.89163592379800405</v>
      </c>
      <c r="I575">
        <v>1.0569942546114299</v>
      </c>
      <c r="J575">
        <v>0.59918959782280001</v>
      </c>
      <c r="K575">
        <v>0.87652857574841203</v>
      </c>
      <c r="L575">
        <v>15000</v>
      </c>
      <c r="M575">
        <v>229.56208026788599</v>
      </c>
      <c r="O575">
        <v>65.336850640796001</v>
      </c>
      <c r="P575">
        <v>-0.23023284372559299</v>
      </c>
      <c r="Q575">
        <v>0.73788899072436498</v>
      </c>
      <c r="R575">
        <v>0.28981818295291201</v>
      </c>
      <c r="S575" t="s">
        <v>1901</v>
      </c>
      <c r="T575" t="s">
        <v>2650</v>
      </c>
      <c r="U575" t="s">
        <v>2650</v>
      </c>
      <c r="V575" t="s">
        <v>2650</v>
      </c>
      <c r="W575" t="s">
        <v>3225</v>
      </c>
      <c r="X575">
        <v>29</v>
      </c>
      <c r="Y575" t="s">
        <v>4540</v>
      </c>
      <c r="Z575" t="s">
        <v>5855</v>
      </c>
      <c r="AA575">
        <v>0.95933681585014041</v>
      </c>
      <c r="AB575" t="str">
        <f>HYPERLINK("Melting_Curves/meltCurve_P35579_MYH9.pdf", "Melting_Curves/meltCurve_P35579_MYH9.pdf")</f>
        <v>Melting_Curves/meltCurve_P35579_MYH9.pdf</v>
      </c>
    </row>
    <row r="576" spans="1:28" x14ac:dyDescent="0.25">
      <c r="A576" t="s">
        <v>580</v>
      </c>
      <c r="B576">
        <v>1</v>
      </c>
      <c r="C576">
        <v>0.74787571019156296</v>
      </c>
      <c r="D576">
        <v>1.04748856151642</v>
      </c>
      <c r="E576">
        <v>1.2923726683091199</v>
      </c>
      <c r="F576">
        <v>0.90102569259389598</v>
      </c>
      <c r="G576">
        <v>1.1070943737744501</v>
      </c>
      <c r="H576">
        <v>1.1535522147921</v>
      </c>
      <c r="I576">
        <v>1.4712403841319299</v>
      </c>
      <c r="J576">
        <v>1.01420383126351</v>
      </c>
      <c r="K576">
        <v>1.4411735129971299</v>
      </c>
      <c r="L576">
        <v>559.65448592839505</v>
      </c>
      <c r="M576">
        <v>8.6772176274145192</v>
      </c>
      <c r="O576">
        <v>61.3460843763946</v>
      </c>
      <c r="P576">
        <v>1.7695618009168902E-2</v>
      </c>
      <c r="Q576">
        <v>1.5</v>
      </c>
      <c r="R576">
        <v>0.36314054061932899</v>
      </c>
      <c r="S576" t="s">
        <v>1902</v>
      </c>
      <c r="T576" t="s">
        <v>2650</v>
      </c>
      <c r="U576" t="s">
        <v>2650</v>
      </c>
      <c r="V576" t="s">
        <v>2650</v>
      </c>
      <c r="W576" t="s">
        <v>3226</v>
      </c>
      <c r="X576">
        <v>5</v>
      </c>
      <c r="Y576" t="s">
        <v>4541</v>
      </c>
      <c r="Z576" t="s">
        <v>5856</v>
      </c>
      <c r="AA576">
        <v>1.122043157328225</v>
      </c>
      <c r="AB576" t="str">
        <f>HYPERLINK("Melting_Curves/meltCurve_P35580_MYH10.pdf", "Melting_Curves/meltCurve_P35580_MYH10.pdf")</f>
        <v>Melting_Curves/meltCurve_P35580_MYH10.pdf</v>
      </c>
    </row>
    <row r="577" spans="1:28" x14ac:dyDescent="0.25">
      <c r="A577" t="s">
        <v>581</v>
      </c>
      <c r="B577">
        <v>1</v>
      </c>
      <c r="C577">
        <v>0.92024029204107805</v>
      </c>
      <c r="D577">
        <v>1.3824815468549401</v>
      </c>
      <c r="E577">
        <v>2.08029123876765</v>
      </c>
      <c r="F577">
        <v>2.1125842426187398</v>
      </c>
      <c r="G577">
        <v>2.36330632220796</v>
      </c>
      <c r="H577">
        <v>2.2247071566110401</v>
      </c>
      <c r="I577">
        <v>2.6314786585365901</v>
      </c>
      <c r="J577">
        <v>1.7886513157894699</v>
      </c>
      <c r="K577">
        <v>2.2697368421052602</v>
      </c>
      <c r="L577">
        <v>11445.7160994966</v>
      </c>
      <c r="M577">
        <v>250</v>
      </c>
      <c r="O577">
        <v>45.779934464398401</v>
      </c>
      <c r="P577">
        <v>0.68261347052602395</v>
      </c>
      <c r="Q577">
        <v>1.5</v>
      </c>
      <c r="R577">
        <v>-0.26659935659731698</v>
      </c>
      <c r="S577" t="s">
        <v>1903</v>
      </c>
      <c r="T577" t="s">
        <v>2650</v>
      </c>
      <c r="U577" t="s">
        <v>2650</v>
      </c>
      <c r="V577" t="s">
        <v>2650</v>
      </c>
      <c r="W577" t="s">
        <v>3227</v>
      </c>
      <c r="X577">
        <v>4</v>
      </c>
      <c r="Y577" t="s">
        <v>4542</v>
      </c>
      <c r="Z577" t="s">
        <v>5857</v>
      </c>
      <c r="AA577">
        <v>1.403578752592983</v>
      </c>
      <c r="AB577" t="str">
        <f>HYPERLINK("Melting_Curves/meltCurve_P35625_TIMP3.pdf", "Melting_Curves/meltCurve_P35625_TIMP3.pdf")</f>
        <v>Melting_Curves/meltCurve_P35625_TIMP3.pdf</v>
      </c>
    </row>
    <row r="578" spans="1:28" x14ac:dyDescent="0.25">
      <c r="A578" t="s">
        <v>582</v>
      </c>
      <c r="B578">
        <v>1</v>
      </c>
      <c r="C578">
        <v>0.92020781637717097</v>
      </c>
      <c r="D578">
        <v>1.3529259718775799</v>
      </c>
      <c r="E578">
        <v>1.5373759305210899</v>
      </c>
      <c r="F578">
        <v>1.4978029363109999</v>
      </c>
      <c r="G578">
        <v>1.37112282878412</v>
      </c>
      <c r="H578">
        <v>1.3128101736972699</v>
      </c>
      <c r="I578">
        <v>1.6875</v>
      </c>
      <c r="J578">
        <v>1.1386993382961099</v>
      </c>
      <c r="K578">
        <v>1.5175506617038901</v>
      </c>
      <c r="L578">
        <v>11434.3111042821</v>
      </c>
      <c r="M578">
        <v>250</v>
      </c>
      <c r="O578">
        <v>45.734301898957703</v>
      </c>
      <c r="P578">
        <v>0.59795319243335998</v>
      </c>
      <c r="Q578">
        <v>1.43755169908622</v>
      </c>
      <c r="R578">
        <v>0.639747203732973</v>
      </c>
      <c r="S578" t="s">
        <v>1904</v>
      </c>
      <c r="T578" t="s">
        <v>2650</v>
      </c>
      <c r="U578" t="s">
        <v>2650</v>
      </c>
      <c r="V578" t="s">
        <v>2650</v>
      </c>
      <c r="W578" t="s">
        <v>3228</v>
      </c>
      <c r="X578">
        <v>2</v>
      </c>
      <c r="Y578" t="s">
        <v>4543</v>
      </c>
      <c r="Z578" t="s">
        <v>5858</v>
      </c>
      <c r="AA578">
        <v>1.3538385428602919</v>
      </c>
      <c r="AB578" t="str">
        <f>HYPERLINK("Melting_Curves/meltCurve_P35754_GLRX.pdf", "Melting_Curves/meltCurve_P35754_GLRX.pdf")</f>
        <v>Melting_Curves/meltCurve_P35754_GLRX.pdf</v>
      </c>
    </row>
    <row r="579" spans="1:28" x14ac:dyDescent="0.25">
      <c r="A579" t="s">
        <v>583</v>
      </c>
      <c r="B579">
        <v>1</v>
      </c>
      <c r="C579">
        <v>0.68425973690998199</v>
      </c>
      <c r="D579">
        <v>1.11684291978334</v>
      </c>
      <c r="E579">
        <v>1.29084988393087</v>
      </c>
      <c r="F579">
        <v>0.83927650245034802</v>
      </c>
      <c r="G579">
        <v>1.06761026566933</v>
      </c>
      <c r="H579">
        <v>0.89170105751869999</v>
      </c>
      <c r="I579">
        <v>1.12886897085375</v>
      </c>
      <c r="J579">
        <v>0.712309775599691</v>
      </c>
      <c r="K579">
        <v>0.87548362135671898</v>
      </c>
      <c r="L579">
        <v>3216.0563876778701</v>
      </c>
      <c r="M579">
        <v>48.880859543782897</v>
      </c>
      <c r="O579">
        <v>65.683938113855902</v>
      </c>
      <c r="P579">
        <v>-3.8358952600058803E-2</v>
      </c>
      <c r="Q579">
        <v>0.79381993315079502</v>
      </c>
      <c r="R579">
        <v>0.13548900070522499</v>
      </c>
      <c r="S579" t="s">
        <v>1905</v>
      </c>
      <c r="T579" t="s">
        <v>2650</v>
      </c>
      <c r="U579" t="s">
        <v>2650</v>
      </c>
      <c r="V579" t="s">
        <v>2650</v>
      </c>
      <c r="W579" t="s">
        <v>3229</v>
      </c>
      <c r="X579">
        <v>1</v>
      </c>
      <c r="Y579" t="s">
        <v>4544</v>
      </c>
      <c r="Z579" t="s">
        <v>5859</v>
      </c>
      <c r="AA579">
        <v>0.97115179257043893</v>
      </c>
      <c r="AB579" t="str">
        <f>HYPERLINK("Melting_Curves/meltCurve_P35813_PPM1A.pdf", "Melting_Curves/meltCurve_P35813_PPM1A.pdf")</f>
        <v>Melting_Curves/meltCurve_P35813_PPM1A.pdf</v>
      </c>
    </row>
    <row r="580" spans="1:28" x14ac:dyDescent="0.25">
      <c r="A580" t="s">
        <v>584</v>
      </c>
      <c r="B580">
        <v>1</v>
      </c>
      <c r="C580">
        <v>0.91516607959969698</v>
      </c>
      <c r="D580">
        <v>1.2744181453073</v>
      </c>
      <c r="E580">
        <v>1.73716956908187</v>
      </c>
      <c r="F580">
        <v>1.4805280310761399</v>
      </c>
      <c r="G580">
        <v>1.6022648714487899</v>
      </c>
      <c r="H580">
        <v>2.5840273891430998</v>
      </c>
      <c r="I580">
        <v>3.6925963722553199</v>
      </c>
      <c r="J580">
        <v>2.7198538367844098</v>
      </c>
      <c r="K580">
        <v>3.76238601573559</v>
      </c>
      <c r="L580">
        <v>11490.9853847995</v>
      </c>
      <c r="M580">
        <v>250</v>
      </c>
      <c r="O580">
        <v>45.9610003042229</v>
      </c>
      <c r="P580">
        <v>0.67992428218280798</v>
      </c>
      <c r="Q580">
        <v>1.5</v>
      </c>
      <c r="R580">
        <v>-0.26994072108475597</v>
      </c>
      <c r="S580" t="s">
        <v>1906</v>
      </c>
      <c r="T580" t="s">
        <v>2650</v>
      </c>
      <c r="U580" t="s">
        <v>2650</v>
      </c>
      <c r="V580" t="s">
        <v>2650</v>
      </c>
      <c r="W580" t="s">
        <v>3230</v>
      </c>
      <c r="X580">
        <v>2</v>
      </c>
      <c r="Y580" t="s">
        <v>4545</v>
      </c>
      <c r="Z580" t="s">
        <v>5860</v>
      </c>
      <c r="AA580">
        <v>1.4005606413456779</v>
      </c>
      <c r="AB580" t="str">
        <f>HYPERLINK("Melting_Curves/meltCurve_P35858_IGFALS.pdf", "Melting_Curves/meltCurve_P35858_IGFALS.pdf")</f>
        <v>Melting_Curves/meltCurve_P35858_IGFALS.pdf</v>
      </c>
    </row>
    <row r="581" spans="1:28" x14ac:dyDescent="0.25">
      <c r="A581" t="s">
        <v>585</v>
      </c>
      <c r="B581">
        <v>1</v>
      </c>
      <c r="C581">
        <v>0.64492437815763604</v>
      </c>
      <c r="D581">
        <v>0.94505512243152101</v>
      </c>
      <c r="E581">
        <v>0.95346472325795395</v>
      </c>
      <c r="F581">
        <v>0.64069536584184805</v>
      </c>
      <c r="G581">
        <v>0.75836521233838505</v>
      </c>
      <c r="H581">
        <v>0.71363775765499604</v>
      </c>
      <c r="I581">
        <v>0.66916856326570096</v>
      </c>
      <c r="J581">
        <v>0.44059206172421</v>
      </c>
      <c r="K581">
        <v>0.59283650509257002</v>
      </c>
      <c r="L581">
        <v>212.90294260028199</v>
      </c>
      <c r="M581">
        <v>2.8289848133338098</v>
      </c>
      <c r="O581">
        <v>53.954857970996201</v>
      </c>
      <c r="P581">
        <v>-1.3586579635090299E-2</v>
      </c>
      <c r="Q581">
        <v>0</v>
      </c>
      <c r="R581">
        <v>0.50930843003596704</v>
      </c>
      <c r="S581" t="s">
        <v>1907</v>
      </c>
      <c r="T581" t="s">
        <v>2650</v>
      </c>
      <c r="U581" t="s">
        <v>2650</v>
      </c>
      <c r="V581" t="s">
        <v>2650</v>
      </c>
      <c r="W581" t="s">
        <v>3231</v>
      </c>
      <c r="X581">
        <v>1</v>
      </c>
      <c r="Y581" t="s">
        <v>4546</v>
      </c>
      <c r="Z581" t="s">
        <v>5861</v>
      </c>
      <c r="AA581">
        <v>0.73954420696551437</v>
      </c>
      <c r="AB581" t="str">
        <f>HYPERLINK("Melting_Curves/meltCurve_P35998_PSMC2.pdf", "Melting_Curves/meltCurve_P35998_PSMC2.pdf")</f>
        <v>Melting_Curves/meltCurve_P35998_PSMC2.pdf</v>
      </c>
    </row>
    <row r="582" spans="1:28" x14ac:dyDescent="0.25">
      <c r="A582" t="s">
        <v>586</v>
      </c>
      <c r="B582">
        <v>1</v>
      </c>
      <c r="C582">
        <v>0.730674192963366</v>
      </c>
      <c r="D582">
        <v>0.97640097932535397</v>
      </c>
      <c r="E582">
        <v>1.1862985128763099</v>
      </c>
      <c r="F582">
        <v>0.90033324265505998</v>
      </c>
      <c r="G582">
        <v>0.95203119332607899</v>
      </c>
      <c r="H582">
        <v>0.85149165759883905</v>
      </c>
      <c r="I582">
        <v>0.79921563293434905</v>
      </c>
      <c r="J582">
        <v>0.650605277475517</v>
      </c>
      <c r="K582">
        <v>0.71129171200580299</v>
      </c>
      <c r="L582">
        <v>1300.9388248120299</v>
      </c>
      <c r="M582">
        <v>21.024449662458402</v>
      </c>
      <c r="O582">
        <v>61.325785651012801</v>
      </c>
      <c r="P582">
        <v>-2.9868232724834201E-2</v>
      </c>
      <c r="Q582">
        <v>0.65152117391938902</v>
      </c>
      <c r="R582">
        <v>0.47696876712845898</v>
      </c>
      <c r="S582" t="s">
        <v>1908</v>
      </c>
      <c r="T582" t="s">
        <v>2650</v>
      </c>
      <c r="U582" t="s">
        <v>2650</v>
      </c>
      <c r="V582" t="s">
        <v>2650</v>
      </c>
      <c r="W582" t="s">
        <v>3232</v>
      </c>
      <c r="X582">
        <v>1</v>
      </c>
      <c r="Y582" t="s">
        <v>4547</v>
      </c>
      <c r="Z582" t="s">
        <v>5862</v>
      </c>
      <c r="AA582">
        <v>0.90703386978090095</v>
      </c>
      <c r="AB582" t="str">
        <f>HYPERLINK("Melting_Curves/meltCurve_P36578_RPL4.pdf", "Melting_Curves/meltCurve_P36578_RPL4.pdf")</f>
        <v>Melting_Curves/meltCurve_P36578_RPL4.pdf</v>
      </c>
    </row>
    <row r="583" spans="1:28" x14ac:dyDescent="0.25">
      <c r="A583" t="s">
        <v>587</v>
      </c>
      <c r="B583">
        <v>1</v>
      </c>
      <c r="C583">
        <v>0.86088283634656004</v>
      </c>
      <c r="D583">
        <v>1.1297252876262001</v>
      </c>
      <c r="E583">
        <v>1.3543085231274901</v>
      </c>
      <c r="F583">
        <v>1.2297487673162699</v>
      </c>
      <c r="G583">
        <v>1.5056938248415099</v>
      </c>
      <c r="H583">
        <v>1.39087814040855</v>
      </c>
      <c r="I583">
        <v>1.61481568443297</v>
      </c>
      <c r="J583">
        <v>1.31750410894576</v>
      </c>
      <c r="K583">
        <v>1.4908429208734399</v>
      </c>
      <c r="L583">
        <v>1013.15908403919</v>
      </c>
      <c r="M583">
        <v>20.666221457264601</v>
      </c>
      <c r="O583">
        <v>48.572781579584301</v>
      </c>
      <c r="P583">
        <v>4.8526182986630702E-2</v>
      </c>
      <c r="Q583">
        <v>1.45620026007103</v>
      </c>
      <c r="R583">
        <v>0.78101422330935999</v>
      </c>
      <c r="S583" t="s">
        <v>1909</v>
      </c>
      <c r="T583" t="s">
        <v>2650</v>
      </c>
      <c r="U583" t="s">
        <v>2650</v>
      </c>
      <c r="V583" t="s">
        <v>2650</v>
      </c>
      <c r="W583" t="s">
        <v>3233</v>
      </c>
      <c r="X583">
        <v>1</v>
      </c>
      <c r="Y583" t="s">
        <v>4548</v>
      </c>
      <c r="Z583" t="s">
        <v>5863</v>
      </c>
      <c r="AA583">
        <v>1.3129851059882729</v>
      </c>
      <c r="AB583" t="str">
        <f>HYPERLINK("Melting_Curves/meltCurve_P36871_3_PGM1.pdf", "Melting_Curves/meltCurve_P36871_3_PGM1.pdf")</f>
        <v>Melting_Curves/meltCurve_P36871_3_PGM1.pdf</v>
      </c>
    </row>
    <row r="584" spans="1:28" x14ac:dyDescent="0.25">
      <c r="A584" t="s">
        <v>588</v>
      </c>
      <c r="B584">
        <v>1</v>
      </c>
      <c r="C584">
        <v>0.77816047346463602</v>
      </c>
      <c r="D584">
        <v>1.16513049383914</v>
      </c>
      <c r="E584">
        <v>1.3393810032017099</v>
      </c>
      <c r="F584">
        <v>1.03560686911808</v>
      </c>
      <c r="G584">
        <v>0.98612593383137703</v>
      </c>
      <c r="H584">
        <v>0.93480159115164496</v>
      </c>
      <c r="I584">
        <v>1.09692442029689</v>
      </c>
      <c r="J584">
        <v>0.71003201707577401</v>
      </c>
      <c r="K584">
        <v>0.96779858348695103</v>
      </c>
      <c r="L584">
        <v>3379.8378012532298</v>
      </c>
      <c r="M584">
        <v>51.824377240169298</v>
      </c>
      <c r="O584">
        <v>65.120255043442199</v>
      </c>
      <c r="P584">
        <v>-2.8605144530155301E-2</v>
      </c>
      <c r="Q584">
        <v>0.85622419600939503</v>
      </c>
      <c r="R584">
        <v>0.117398795224151</v>
      </c>
      <c r="S584" t="s">
        <v>1910</v>
      </c>
      <c r="T584" t="s">
        <v>2650</v>
      </c>
      <c r="U584" t="s">
        <v>2650</v>
      </c>
      <c r="V584" t="s">
        <v>2650</v>
      </c>
      <c r="W584" t="s">
        <v>3234</v>
      </c>
      <c r="X584">
        <v>1</v>
      </c>
      <c r="Y584" t="s">
        <v>4549</v>
      </c>
      <c r="Z584" t="s">
        <v>5864</v>
      </c>
      <c r="AA584">
        <v>0.97725550520094084</v>
      </c>
      <c r="AB584" t="str">
        <f>HYPERLINK("Melting_Curves/meltCurve_P36896_5_ACVR1B.pdf", "Melting_Curves/meltCurve_P36896_5_ACVR1B.pdf")</f>
        <v>Melting_Curves/meltCurve_P36896_5_ACVR1B.pdf</v>
      </c>
    </row>
    <row r="585" spans="1:28" x14ac:dyDescent="0.25">
      <c r="A585" t="s">
        <v>589</v>
      </c>
      <c r="B585">
        <v>1</v>
      </c>
      <c r="C585">
        <v>0.61413745983676205</v>
      </c>
      <c r="D585">
        <v>1.0656276544668899</v>
      </c>
      <c r="E585">
        <v>1.3827233445359499</v>
      </c>
      <c r="F585">
        <v>1.2709433590624299</v>
      </c>
      <c r="G585">
        <v>1.2981497211655599</v>
      </c>
      <c r="H585">
        <v>1.3717669362681699</v>
      </c>
      <c r="I585">
        <v>1.7418227031552</v>
      </c>
      <c r="J585">
        <v>1.18675136339575</v>
      </c>
      <c r="K585">
        <v>1.60899164112223</v>
      </c>
      <c r="L585">
        <v>2458.3497240657898</v>
      </c>
      <c r="M585">
        <v>51.480138915024597</v>
      </c>
      <c r="O585">
        <v>47.681473151421002</v>
      </c>
      <c r="P585">
        <v>0.111905744807467</v>
      </c>
      <c r="Q585">
        <v>1.4145929886977799</v>
      </c>
      <c r="R585">
        <v>0.58034271723471997</v>
      </c>
      <c r="S585" t="s">
        <v>1911</v>
      </c>
      <c r="T585" t="s">
        <v>2650</v>
      </c>
      <c r="U585" t="s">
        <v>2650</v>
      </c>
      <c r="V585" t="s">
        <v>2650</v>
      </c>
      <c r="W585" t="s">
        <v>3235</v>
      </c>
      <c r="X585">
        <v>1</v>
      </c>
      <c r="Y585" t="s">
        <v>4550</v>
      </c>
      <c r="Z585" t="s">
        <v>5865</v>
      </c>
      <c r="AA585">
        <v>1.3066193833968709</v>
      </c>
      <c r="AB585" t="str">
        <f>HYPERLINK("Melting_Curves/meltCurve_P36952_2_SERPINB5.pdf", "Melting_Curves/meltCurve_P36952_2_SERPINB5.pdf")</f>
        <v>Melting_Curves/meltCurve_P36952_2_SERPINB5.pdf</v>
      </c>
    </row>
    <row r="586" spans="1:28" x14ac:dyDescent="0.25">
      <c r="A586" t="s">
        <v>590</v>
      </c>
      <c r="B586">
        <v>1</v>
      </c>
      <c r="C586">
        <v>0.79344529111489204</v>
      </c>
      <c r="D586">
        <v>1.2467263446030901</v>
      </c>
      <c r="E586">
        <v>2.2393282533106502</v>
      </c>
      <c r="F586">
        <v>2.0533402382185399</v>
      </c>
      <c r="G586">
        <v>2.4095583339498399</v>
      </c>
      <c r="H586">
        <v>2.2802396981578799</v>
      </c>
      <c r="I586">
        <v>2.6677517200562302</v>
      </c>
      <c r="J586">
        <v>1.89383738995339</v>
      </c>
      <c r="K586">
        <v>2.4506917215358399</v>
      </c>
      <c r="L586">
        <v>11501.2047763755</v>
      </c>
      <c r="M586">
        <v>250</v>
      </c>
      <c r="O586">
        <v>46.001875075279997</v>
      </c>
      <c r="P586">
        <v>0.67932013569419003</v>
      </c>
      <c r="Q586">
        <v>1.5</v>
      </c>
      <c r="R586">
        <v>-0.220018568622313</v>
      </c>
      <c r="S586" t="s">
        <v>1912</v>
      </c>
      <c r="T586" t="s">
        <v>2650</v>
      </c>
      <c r="U586" t="s">
        <v>2650</v>
      </c>
      <c r="V586" t="s">
        <v>2650</v>
      </c>
      <c r="W586" t="s">
        <v>3236</v>
      </c>
      <c r="X586">
        <v>8</v>
      </c>
      <c r="Y586" t="s">
        <v>4551</v>
      </c>
      <c r="Z586" t="s">
        <v>5866</v>
      </c>
      <c r="AA586">
        <v>1.399879312704198</v>
      </c>
      <c r="AB586" t="str">
        <f>HYPERLINK("Melting_Curves/meltCurve_P36955_SERPINF1.pdf", "Melting_Curves/meltCurve_P36955_SERPINF1.pdf")</f>
        <v>Melting_Curves/meltCurve_P36955_SERPINF1.pdf</v>
      </c>
    </row>
    <row r="587" spans="1:28" x14ac:dyDescent="0.25">
      <c r="A587" t="s">
        <v>591</v>
      </c>
      <c r="B587">
        <v>1</v>
      </c>
      <c r="C587">
        <v>0.90435157259801802</v>
      </c>
      <c r="D587">
        <v>1.1956053425247699</v>
      </c>
      <c r="E587">
        <v>1.5038345540715199</v>
      </c>
      <c r="F587">
        <v>1.21258078414477</v>
      </c>
      <c r="G587">
        <v>1.3093494183541601</v>
      </c>
      <c r="H587">
        <v>1.0865144334338599</v>
      </c>
      <c r="I587">
        <v>1.4841016803102101</v>
      </c>
      <c r="J587">
        <v>1.03446790176648</v>
      </c>
      <c r="K587">
        <v>1.3541576906505799</v>
      </c>
      <c r="L587">
        <v>11463.239699702901</v>
      </c>
      <c r="M587">
        <v>250</v>
      </c>
      <c r="O587">
        <v>45.850028470128301</v>
      </c>
      <c r="P587">
        <v>0.38654880254004198</v>
      </c>
      <c r="Q587">
        <v>1.2835723528549901</v>
      </c>
      <c r="R587">
        <v>0.44280271955522998</v>
      </c>
      <c r="S587" t="s">
        <v>1913</v>
      </c>
      <c r="T587" t="s">
        <v>2650</v>
      </c>
      <c r="U587" t="s">
        <v>2650</v>
      </c>
      <c r="V587" t="s">
        <v>2650</v>
      </c>
      <c r="W587" t="s">
        <v>3237</v>
      </c>
      <c r="X587">
        <v>1</v>
      </c>
      <c r="Y587" t="s">
        <v>4552</v>
      </c>
      <c r="Z587" t="s">
        <v>5867</v>
      </c>
      <c r="AA587">
        <v>1.228224956847817</v>
      </c>
      <c r="AB587" t="str">
        <f>HYPERLINK("Melting_Curves/meltCurve_P36959_GMPR.pdf", "Melting_Curves/meltCurve_P36959_GMPR.pdf")</f>
        <v>Melting_Curves/meltCurve_P36959_GMPR.pdf</v>
      </c>
    </row>
    <row r="588" spans="1:28" x14ac:dyDescent="0.25">
      <c r="A588" t="s">
        <v>592</v>
      </c>
      <c r="B588">
        <v>1</v>
      </c>
      <c r="C588">
        <v>0.760910550186915</v>
      </c>
      <c r="D588">
        <v>1.1352789718065599</v>
      </c>
      <c r="E588">
        <v>1.3066804563524099</v>
      </c>
      <c r="F588">
        <v>1.02001659071566</v>
      </c>
      <c r="G588">
        <v>1.0900315654525301</v>
      </c>
      <c r="H588">
        <v>0.95309352207965703</v>
      </c>
      <c r="I588">
        <v>1.0495028171897101</v>
      </c>
      <c r="J588">
        <v>0.73838380573780205</v>
      </c>
      <c r="K588">
        <v>1.08884651433373</v>
      </c>
      <c r="L588">
        <v>15000</v>
      </c>
      <c r="M588">
        <v>229.76011113335099</v>
      </c>
      <c r="O588">
        <v>65.280531409574905</v>
      </c>
      <c r="P588">
        <v>-7.5682223646325195E-2</v>
      </c>
      <c r="Q588">
        <v>0.91398722418704703</v>
      </c>
      <c r="R588">
        <v>4.9492677757958702E-2</v>
      </c>
      <c r="S588" t="s">
        <v>1914</v>
      </c>
      <c r="T588" t="s">
        <v>2650</v>
      </c>
      <c r="U588" t="s">
        <v>2650</v>
      </c>
      <c r="V588" t="s">
        <v>2650</v>
      </c>
      <c r="W588" t="s">
        <v>3238</v>
      </c>
      <c r="X588">
        <v>2</v>
      </c>
      <c r="Y588" t="s">
        <v>4553</v>
      </c>
      <c r="Z588" t="s">
        <v>5868</v>
      </c>
      <c r="AA588">
        <v>0.98649471361914032</v>
      </c>
      <c r="AB588" t="str">
        <f>HYPERLINK("Melting_Curves/meltCurve_P36980_2_CFHR2.pdf", "Melting_Curves/meltCurve_P36980_2_CFHR2.pdf")</f>
        <v>Melting_Curves/meltCurve_P36980_2_CFHR2.pdf</v>
      </c>
    </row>
    <row r="589" spans="1:28" x14ac:dyDescent="0.25">
      <c r="A589" t="s">
        <v>593</v>
      </c>
      <c r="B589">
        <v>1</v>
      </c>
      <c r="C589">
        <v>0.87895850804680298</v>
      </c>
      <c r="D589">
        <v>1.00810670500379</v>
      </c>
      <c r="E589">
        <v>1.1811429256020101</v>
      </c>
      <c r="F589">
        <v>1.0452058623856899</v>
      </c>
      <c r="G589">
        <v>1.13561758715706</v>
      </c>
      <c r="H589">
        <v>1.0785911105786501</v>
      </c>
      <c r="I589">
        <v>1.33305379178148</v>
      </c>
      <c r="J589">
        <v>1.0031548260852201</v>
      </c>
      <c r="K589">
        <v>1.16804440717224</v>
      </c>
      <c r="L589">
        <v>11626.5202103723</v>
      </c>
      <c r="M589">
        <v>250</v>
      </c>
      <c r="O589">
        <v>46.503105036049597</v>
      </c>
      <c r="P589">
        <v>0.18140311697301401</v>
      </c>
      <c r="Q589">
        <v>1.1349729302823199</v>
      </c>
      <c r="R589">
        <v>0.40515102198964797</v>
      </c>
      <c r="S589" t="s">
        <v>1915</v>
      </c>
      <c r="T589" t="s">
        <v>2650</v>
      </c>
      <c r="U589" t="s">
        <v>2650</v>
      </c>
      <c r="V589" t="s">
        <v>2650</v>
      </c>
      <c r="W589" t="s">
        <v>3239</v>
      </c>
      <c r="X589">
        <v>1</v>
      </c>
      <c r="Y589" t="s">
        <v>4554</v>
      </c>
      <c r="Z589" t="s">
        <v>5869</v>
      </c>
      <c r="AA589">
        <v>1.105690420941875</v>
      </c>
      <c r="AB589" t="str">
        <f>HYPERLINK("Melting_Curves/meltCurve_P37108_SRP14.pdf", "Melting_Curves/meltCurve_P37108_SRP14.pdf")</f>
        <v>Melting_Curves/meltCurve_P37108_SRP14.pdf</v>
      </c>
    </row>
    <row r="590" spans="1:28" x14ac:dyDescent="0.25">
      <c r="A590" t="s">
        <v>594</v>
      </c>
      <c r="B590">
        <v>1</v>
      </c>
      <c r="C590">
        <v>0.62007106083677799</v>
      </c>
      <c r="D590">
        <v>0.83186135885722601</v>
      </c>
      <c r="E590">
        <v>0.91991878761511103</v>
      </c>
      <c r="F590">
        <v>0.80197230077586801</v>
      </c>
      <c r="G590">
        <v>0.82552389239359003</v>
      </c>
      <c r="H590">
        <v>0.72701036908128502</v>
      </c>
      <c r="I590">
        <v>0.79329997824668297</v>
      </c>
      <c r="J590">
        <v>0.84066420129069697</v>
      </c>
      <c r="K590">
        <v>1.04697266333116</v>
      </c>
      <c r="L590">
        <v>10229.370628315601</v>
      </c>
      <c r="M590">
        <v>250</v>
      </c>
      <c r="O590">
        <v>40.914867130764698</v>
      </c>
      <c r="P590">
        <v>-0.27032815208996602</v>
      </c>
      <c r="Q590">
        <v>0.82303296665735404</v>
      </c>
      <c r="R590">
        <v>0.201523370405611</v>
      </c>
      <c r="S590" t="s">
        <v>1916</v>
      </c>
      <c r="T590" t="s">
        <v>2650</v>
      </c>
      <c r="U590" t="s">
        <v>2650</v>
      </c>
      <c r="V590" t="s">
        <v>2650</v>
      </c>
      <c r="W590" t="s">
        <v>3240</v>
      </c>
      <c r="X590">
        <v>2</v>
      </c>
      <c r="Y590" t="s">
        <v>4555</v>
      </c>
      <c r="Z590" t="s">
        <v>5870</v>
      </c>
      <c r="AA590">
        <v>0.82846076854112183</v>
      </c>
      <c r="AB590" t="str">
        <f>HYPERLINK("Melting_Curves/meltCurve_P37802_TAGLN2.pdf", "Melting_Curves/meltCurve_P37802_TAGLN2.pdf")</f>
        <v>Melting_Curves/meltCurve_P37802_TAGLN2.pdf</v>
      </c>
    </row>
    <row r="591" spans="1:28" x14ac:dyDescent="0.25">
      <c r="A591" t="s">
        <v>595</v>
      </c>
      <c r="B591">
        <v>1</v>
      </c>
      <c r="C591">
        <v>0.90993893215306199</v>
      </c>
      <c r="D591">
        <v>1.3911983864642301</v>
      </c>
      <c r="E591">
        <v>2.0139783741386101</v>
      </c>
      <c r="F591">
        <v>1.7700711524455199</v>
      </c>
      <c r="G591">
        <v>2.2967393131267899</v>
      </c>
      <c r="H591">
        <v>2.2379405008684001</v>
      </c>
      <c r="I591">
        <v>2.7915569499691899</v>
      </c>
      <c r="J591">
        <v>1.8519805031094201</v>
      </c>
      <c r="K591">
        <v>2.6681886940444799</v>
      </c>
      <c r="L591">
        <v>11441.1343384265</v>
      </c>
      <c r="M591">
        <v>250</v>
      </c>
      <c r="O591">
        <v>45.761608725216703</v>
      </c>
      <c r="P591">
        <v>0.68288683256634597</v>
      </c>
      <c r="Q591">
        <v>1.5</v>
      </c>
      <c r="R591">
        <v>-0.25253982183495499</v>
      </c>
      <c r="S591" t="s">
        <v>1917</v>
      </c>
      <c r="T591" t="s">
        <v>2650</v>
      </c>
      <c r="U591" t="s">
        <v>2650</v>
      </c>
      <c r="V591" t="s">
        <v>2650</v>
      </c>
      <c r="W591" t="s">
        <v>3241</v>
      </c>
      <c r="X591">
        <v>3</v>
      </c>
      <c r="Y591" t="s">
        <v>4556</v>
      </c>
      <c r="Z591" t="s">
        <v>5871</v>
      </c>
      <c r="AA591">
        <v>1.403884219412828</v>
      </c>
      <c r="AB591" t="str">
        <f>HYPERLINK("Melting_Curves/meltCurve_P37837_TALDO1.pdf", "Melting_Curves/meltCurve_P37837_TALDO1.pdf")</f>
        <v>Melting_Curves/meltCurve_P37837_TALDO1.pdf</v>
      </c>
    </row>
    <row r="592" spans="1:28" x14ac:dyDescent="0.25">
      <c r="A592" t="s">
        <v>596</v>
      </c>
      <c r="B592">
        <v>1</v>
      </c>
      <c r="C592">
        <v>1.0701443103856201</v>
      </c>
      <c r="D592">
        <v>1.1235509817837701</v>
      </c>
      <c r="E592">
        <v>1.54376626449018</v>
      </c>
      <c r="F592">
        <v>1.62006150934469</v>
      </c>
      <c r="G592">
        <v>2.1851194700733401</v>
      </c>
      <c r="H592">
        <v>2.3964986988407899</v>
      </c>
      <c r="I592">
        <v>2.86787319612018</v>
      </c>
      <c r="J592">
        <v>2.39661698604211</v>
      </c>
      <c r="K592">
        <v>2.9219895907262798</v>
      </c>
      <c r="S592" t="s">
        <v>1918</v>
      </c>
      <c r="T592" t="s">
        <v>2650</v>
      </c>
      <c r="U592" t="s">
        <v>2651</v>
      </c>
      <c r="V592" t="s">
        <v>2650</v>
      </c>
      <c r="W592" t="s">
        <v>3242</v>
      </c>
      <c r="X592">
        <v>4</v>
      </c>
      <c r="Y592" t="s">
        <v>4557</v>
      </c>
      <c r="Z592" t="s">
        <v>5872</v>
      </c>
      <c r="AB592" t="str">
        <f>HYPERLINK("Melting_Curves/meltCurve_P39060_2_COL18A1.pdf", "Melting_Curves/meltCurve_P39060_2_COL18A1.pdf")</f>
        <v>Melting_Curves/meltCurve_P39060_2_COL18A1.pdf</v>
      </c>
    </row>
    <row r="593" spans="1:28" x14ac:dyDescent="0.25">
      <c r="A593" t="s">
        <v>597</v>
      </c>
      <c r="B593">
        <v>1</v>
      </c>
      <c r="C593">
        <v>0.73785900162790996</v>
      </c>
      <c r="D593">
        <v>1.2067920672077199</v>
      </c>
      <c r="E593">
        <v>1.4316099670853299</v>
      </c>
      <c r="F593">
        <v>1.08416412181993</v>
      </c>
      <c r="G593">
        <v>1.3904963342324499</v>
      </c>
      <c r="H593">
        <v>1.52310562401226</v>
      </c>
      <c r="I593">
        <v>2.12899699371413</v>
      </c>
      <c r="J593">
        <v>1.5644569079221</v>
      </c>
      <c r="K593">
        <v>2.2238197654384102</v>
      </c>
      <c r="L593">
        <v>946.60528484934696</v>
      </c>
      <c r="M593">
        <v>19.0619085446857</v>
      </c>
      <c r="O593">
        <v>49.122668053580497</v>
      </c>
      <c r="P593">
        <v>4.8507793588175502E-2</v>
      </c>
      <c r="Q593">
        <v>1.5</v>
      </c>
      <c r="R593">
        <v>0.41687857253850802</v>
      </c>
      <c r="S593" t="s">
        <v>1919</v>
      </c>
      <c r="T593" t="s">
        <v>2650</v>
      </c>
      <c r="U593" t="s">
        <v>2650</v>
      </c>
      <c r="V593" t="s">
        <v>2650</v>
      </c>
      <c r="W593" t="s">
        <v>3243</v>
      </c>
      <c r="X593">
        <v>4</v>
      </c>
      <c r="Y593" t="s">
        <v>4558</v>
      </c>
      <c r="Z593" t="s">
        <v>5873</v>
      </c>
      <c r="AA593">
        <v>1.33134516048079</v>
      </c>
      <c r="AB593" t="str">
        <f>HYPERLINK("Melting_Curves/meltCurve_P40121_2_CAPG.pdf", "Melting_Curves/meltCurve_P40121_2_CAPG.pdf")</f>
        <v>Melting_Curves/meltCurve_P40121_2_CAPG.pdf</v>
      </c>
    </row>
    <row r="594" spans="1:28" x14ac:dyDescent="0.25">
      <c r="A594" t="s">
        <v>598</v>
      </c>
      <c r="B594">
        <v>1</v>
      </c>
      <c r="C594">
        <v>0.86003236245954695</v>
      </c>
      <c r="D594">
        <v>1.14922999665216</v>
      </c>
      <c r="E594">
        <v>1.3865082022095701</v>
      </c>
      <c r="F594">
        <v>1.0895268385224901</v>
      </c>
      <c r="G594">
        <v>1.24818658631849</v>
      </c>
      <c r="H594">
        <v>1.22090168507979</v>
      </c>
      <c r="I594">
        <v>1.4762582301082501</v>
      </c>
      <c r="J594">
        <v>1.04394040843656</v>
      </c>
      <c r="K594">
        <v>1.3872614663542</v>
      </c>
      <c r="L594">
        <v>11488.1840023676</v>
      </c>
      <c r="M594">
        <v>250</v>
      </c>
      <c r="O594">
        <v>45.949795728606603</v>
      </c>
      <c r="P594">
        <v>0.359978173542364</v>
      </c>
      <c r="Q594">
        <v>1.2646547741034699</v>
      </c>
      <c r="R594">
        <v>0.48551494234350501</v>
      </c>
      <c r="S594" t="s">
        <v>1920</v>
      </c>
      <c r="T594" t="s">
        <v>2650</v>
      </c>
      <c r="U594" t="s">
        <v>2650</v>
      </c>
      <c r="V594" t="s">
        <v>2650</v>
      </c>
      <c r="W594" t="s">
        <v>3244</v>
      </c>
      <c r="X594">
        <v>10</v>
      </c>
      <c r="Y594" t="s">
        <v>4559</v>
      </c>
      <c r="Z594" t="s">
        <v>5874</v>
      </c>
      <c r="AA594">
        <v>1.2121194305360321</v>
      </c>
      <c r="AB594" t="str">
        <f>HYPERLINK("Melting_Curves/meltCurve_P40189_IL6ST.pdf", "Melting_Curves/meltCurve_P40189_IL6ST.pdf")</f>
        <v>Melting_Curves/meltCurve_P40189_IL6ST.pdf</v>
      </c>
    </row>
    <row r="595" spans="1:28" x14ac:dyDescent="0.25">
      <c r="A595" t="s">
        <v>599</v>
      </c>
      <c r="B595">
        <v>1</v>
      </c>
      <c r="C595">
        <v>0.87205211202476896</v>
      </c>
      <c r="D595">
        <v>1.20452763425079</v>
      </c>
      <c r="E595">
        <v>1.3834415649691401</v>
      </c>
      <c r="F595">
        <v>1.13874424495868</v>
      </c>
      <c r="G595">
        <v>1.3558776814974201</v>
      </c>
      <c r="H595">
        <v>1.29300950964032</v>
      </c>
      <c r="I595">
        <v>1.65781378797322</v>
      </c>
      <c r="J595">
        <v>1.1298980679145101</v>
      </c>
      <c r="K595">
        <v>1.4367799915559201</v>
      </c>
      <c r="L595">
        <v>11481.799860896699</v>
      </c>
      <c r="M595">
        <v>250</v>
      </c>
      <c r="O595">
        <v>45.924261102349803</v>
      </c>
      <c r="P595">
        <v>0.46574450528325301</v>
      </c>
      <c r="Q595">
        <v>1.34222355070354</v>
      </c>
      <c r="R595">
        <v>0.53732097875541196</v>
      </c>
      <c r="S595" t="s">
        <v>1921</v>
      </c>
      <c r="T595" t="s">
        <v>2650</v>
      </c>
      <c r="U595" t="s">
        <v>2650</v>
      </c>
      <c r="V595" t="s">
        <v>2650</v>
      </c>
      <c r="W595" t="s">
        <v>3245</v>
      </c>
      <c r="X595">
        <v>3</v>
      </c>
      <c r="Y595" t="s">
        <v>4560</v>
      </c>
      <c r="Z595" t="s">
        <v>5875</v>
      </c>
      <c r="AA595">
        <v>1.2745817256546701</v>
      </c>
      <c r="AB595" t="str">
        <f>HYPERLINK("Melting_Curves/meltCurve_P40227_2_CCT6A.pdf", "Melting_Curves/meltCurve_P40227_2_CCT6A.pdf")</f>
        <v>Melting_Curves/meltCurve_P40227_2_CCT6A.pdf</v>
      </c>
    </row>
    <row r="596" spans="1:28" x14ac:dyDescent="0.25">
      <c r="A596" t="s">
        <v>600</v>
      </c>
      <c r="B596">
        <v>1</v>
      </c>
      <c r="C596">
        <v>0.83802366485449298</v>
      </c>
      <c r="D596">
        <v>1.24488327470419</v>
      </c>
      <c r="E596">
        <v>2.0969779341221599</v>
      </c>
      <c r="F596">
        <v>2.6183242724656202</v>
      </c>
      <c r="G596">
        <v>3.3622481611768502</v>
      </c>
      <c r="H596">
        <v>3.0219859290054401</v>
      </c>
      <c r="I596">
        <v>3.70770706747681</v>
      </c>
      <c r="J596">
        <v>2.7759833706427899</v>
      </c>
      <c r="K596">
        <v>3.45714742564759</v>
      </c>
      <c r="L596">
        <v>11501.883219715701</v>
      </c>
      <c r="M596">
        <v>250</v>
      </c>
      <c r="O596">
        <v>46.004588650581702</v>
      </c>
      <c r="P596">
        <v>0.67928006571493305</v>
      </c>
      <c r="Q596">
        <v>1.5</v>
      </c>
      <c r="R596">
        <v>-0.748127101492572</v>
      </c>
      <c r="S596" t="s">
        <v>1922</v>
      </c>
      <c r="T596" t="s">
        <v>2650</v>
      </c>
      <c r="U596" t="s">
        <v>2650</v>
      </c>
      <c r="V596" t="s">
        <v>2650</v>
      </c>
      <c r="W596" t="s">
        <v>3246</v>
      </c>
      <c r="X596">
        <v>9</v>
      </c>
      <c r="Y596" t="s">
        <v>4561</v>
      </c>
      <c r="Z596" t="s">
        <v>5876</v>
      </c>
      <c r="AA596">
        <v>1.3998340807668701</v>
      </c>
      <c r="AB596" t="str">
        <f>HYPERLINK("Melting_Curves/meltCurve_P40925_MDH1.pdf", "Melting_Curves/meltCurve_P40925_MDH1.pdf")</f>
        <v>Melting_Curves/meltCurve_P40925_MDH1.pdf</v>
      </c>
    </row>
    <row r="597" spans="1:28" x14ac:dyDescent="0.25">
      <c r="A597" t="s">
        <v>601</v>
      </c>
      <c r="B597">
        <v>1</v>
      </c>
      <c r="C597">
        <v>0.76779786777053105</v>
      </c>
      <c r="D597">
        <v>1.1609325575038101</v>
      </c>
      <c r="E597">
        <v>1.4357011754598401</v>
      </c>
      <c r="F597">
        <v>1.04326941851837</v>
      </c>
      <c r="G597">
        <v>1.32737142187683</v>
      </c>
      <c r="H597">
        <v>1.2992541102042401</v>
      </c>
      <c r="I597">
        <v>1.6201429296676699</v>
      </c>
      <c r="J597">
        <v>1.44804155113836</v>
      </c>
      <c r="K597">
        <v>2.1094232045924901</v>
      </c>
      <c r="L597">
        <v>740.00226749711999</v>
      </c>
      <c r="M597">
        <v>14.199771380796101</v>
      </c>
      <c r="O597">
        <v>51.112775816574903</v>
      </c>
      <c r="P597">
        <v>3.4730918592205701E-2</v>
      </c>
      <c r="Q597">
        <v>1.5</v>
      </c>
      <c r="R597">
        <v>0.49475021525867502</v>
      </c>
      <c r="S597" t="s">
        <v>1923</v>
      </c>
      <c r="T597" t="s">
        <v>2650</v>
      </c>
      <c r="U597" t="s">
        <v>2650</v>
      </c>
      <c r="V597" t="s">
        <v>2650</v>
      </c>
      <c r="W597" t="s">
        <v>3247</v>
      </c>
      <c r="X597">
        <v>4</v>
      </c>
      <c r="Y597" t="s">
        <v>4562</v>
      </c>
      <c r="Z597" t="s">
        <v>5877</v>
      </c>
      <c r="AA597">
        <v>1.2860282653989741</v>
      </c>
      <c r="AB597" t="str">
        <f>HYPERLINK("Melting_Curves/meltCurve_P40926_2_MDH2.pdf", "Melting_Curves/meltCurve_P40926_2_MDH2.pdf")</f>
        <v>Melting_Curves/meltCurve_P40926_2_MDH2.pdf</v>
      </c>
    </row>
    <row r="598" spans="1:28" x14ac:dyDescent="0.25">
      <c r="A598" t="s">
        <v>602</v>
      </c>
      <c r="B598">
        <v>1</v>
      </c>
      <c r="C598">
        <v>0.77439024390243905</v>
      </c>
      <c r="D598">
        <v>1.1861306324927701</v>
      </c>
      <c r="E598">
        <v>1.79903885903266</v>
      </c>
      <c r="F598">
        <v>1.5181376601901599</v>
      </c>
      <c r="G598">
        <v>1.79795369987598</v>
      </c>
      <c r="H598">
        <v>1.62572343943778</v>
      </c>
      <c r="I598">
        <v>2.2335159156676299</v>
      </c>
      <c r="J598">
        <v>1.4474472922695301</v>
      </c>
      <c r="K598">
        <v>2.0279040926002501</v>
      </c>
      <c r="L598">
        <v>11524.0362953022</v>
      </c>
      <c r="M598">
        <v>250</v>
      </c>
      <c r="O598">
        <v>46.093195277661401</v>
      </c>
      <c r="P598">
        <v>0.677974260851546</v>
      </c>
      <c r="Q598">
        <v>1.5</v>
      </c>
      <c r="R598">
        <v>0.43124218249930102</v>
      </c>
      <c r="S598" t="s">
        <v>1924</v>
      </c>
      <c r="T598" t="s">
        <v>2650</v>
      </c>
      <c r="U598" t="s">
        <v>2650</v>
      </c>
      <c r="V598" t="s">
        <v>2650</v>
      </c>
      <c r="W598" t="s">
        <v>3248</v>
      </c>
      <c r="X598">
        <v>3</v>
      </c>
      <c r="Y598" t="s">
        <v>4563</v>
      </c>
      <c r="Z598" t="s">
        <v>5878</v>
      </c>
      <c r="AA598">
        <v>1.398357131304498</v>
      </c>
      <c r="AB598" t="str">
        <f>HYPERLINK("Melting_Curves/meltCurve_P41091_EIF2S3.pdf", "Melting_Curves/meltCurve_P41091_EIF2S3.pdf")</f>
        <v>Melting_Curves/meltCurve_P41091_EIF2S3.pdf</v>
      </c>
    </row>
    <row r="599" spans="1:28" x14ac:dyDescent="0.25">
      <c r="A599" t="s">
        <v>603</v>
      </c>
      <c r="B599">
        <v>1</v>
      </c>
      <c r="C599">
        <v>0.83243704335571</v>
      </c>
      <c r="D599">
        <v>1.1717167970923099</v>
      </c>
      <c r="E599">
        <v>1.5304676779290101</v>
      </c>
      <c r="F599">
        <v>1.3803731038831</v>
      </c>
      <c r="G599">
        <v>1.6109854244705699</v>
      </c>
      <c r="H599">
        <v>1.7820717279234499</v>
      </c>
      <c r="I599">
        <v>2.2227496940251501</v>
      </c>
      <c r="J599">
        <v>1.49816415087342</v>
      </c>
      <c r="K599">
        <v>2.0787004413455499</v>
      </c>
      <c r="L599">
        <v>11529.8093852487</v>
      </c>
      <c r="M599">
        <v>250</v>
      </c>
      <c r="O599">
        <v>46.116287779714703</v>
      </c>
      <c r="P599">
        <v>0.67763479240093105</v>
      </c>
      <c r="Q599">
        <v>1.5</v>
      </c>
      <c r="R599">
        <v>0.43821890212790898</v>
      </c>
      <c r="S599" t="s">
        <v>1925</v>
      </c>
      <c r="T599" t="s">
        <v>2650</v>
      </c>
      <c r="U599" t="s">
        <v>2650</v>
      </c>
      <c r="V599" t="s">
        <v>2650</v>
      </c>
      <c r="W599" t="s">
        <v>3249</v>
      </c>
      <c r="X599">
        <v>2</v>
      </c>
      <c r="Y599" t="s">
        <v>4564</v>
      </c>
      <c r="Z599" t="s">
        <v>5879</v>
      </c>
      <c r="AA599">
        <v>1.397972238378032</v>
      </c>
      <c r="AB599" t="str">
        <f>HYPERLINK("Melting_Curves/meltCurve_P41218_MNDA.pdf", "Melting_Curves/meltCurve_P41218_MNDA.pdf")</f>
        <v>Melting_Curves/meltCurve_P41218_MNDA.pdf</v>
      </c>
    </row>
    <row r="600" spans="1:28" x14ac:dyDescent="0.25">
      <c r="A600" t="s">
        <v>604</v>
      </c>
      <c r="B600">
        <v>1</v>
      </c>
      <c r="C600">
        <v>0.79542509205356604</v>
      </c>
      <c r="D600">
        <v>1.1604920494517901</v>
      </c>
      <c r="E600">
        <v>1.33003517577603</v>
      </c>
      <c r="F600">
        <v>1.1018863267027299</v>
      </c>
      <c r="G600">
        <v>1.09941785119207</v>
      </c>
      <c r="H600">
        <v>1.05986053113365</v>
      </c>
      <c r="I600">
        <v>1.1957912492543099</v>
      </c>
      <c r="J600">
        <v>0.77728179705017197</v>
      </c>
      <c r="K600">
        <v>1.12459630140086</v>
      </c>
      <c r="L600">
        <v>11130.025074179501</v>
      </c>
      <c r="M600">
        <v>250</v>
      </c>
      <c r="O600">
        <v>44.517271772502099</v>
      </c>
      <c r="P600">
        <v>0.149057679669164</v>
      </c>
      <c r="Q600">
        <v>1.1061702111837299</v>
      </c>
      <c r="R600">
        <v>0.185287405426865</v>
      </c>
      <c r="S600" t="s">
        <v>1926</v>
      </c>
      <c r="T600" t="s">
        <v>2650</v>
      </c>
      <c r="U600" t="s">
        <v>2650</v>
      </c>
      <c r="V600" t="s">
        <v>2650</v>
      </c>
      <c r="W600" t="s">
        <v>3250</v>
      </c>
      <c r="X600">
        <v>2</v>
      </c>
      <c r="Y600" t="s">
        <v>4565</v>
      </c>
      <c r="Z600" t="s">
        <v>5880</v>
      </c>
      <c r="AA600">
        <v>1.090165249114823</v>
      </c>
      <c r="AB600" t="str">
        <f>HYPERLINK("Melting_Curves/meltCurve_P41222_PTGDS.pdf", "Melting_Curves/meltCurve_P41222_PTGDS.pdf")</f>
        <v>Melting_Curves/meltCurve_P41222_PTGDS.pdf</v>
      </c>
    </row>
    <row r="601" spans="1:28" x14ac:dyDescent="0.25">
      <c r="A601" t="s">
        <v>605</v>
      </c>
      <c r="B601">
        <v>1</v>
      </c>
      <c r="C601">
        <v>0.96872452382717</v>
      </c>
      <c r="D601">
        <v>1.0194915882309299</v>
      </c>
      <c r="E601">
        <v>0.94752834803231301</v>
      </c>
      <c r="F601">
        <v>0.45356851700881901</v>
      </c>
      <c r="G601">
        <v>0.34166975468761601</v>
      </c>
      <c r="H601">
        <v>0.32987845549544198</v>
      </c>
      <c r="I601">
        <v>0.39109167716593801</v>
      </c>
      <c r="J601">
        <v>0.256373675239013</v>
      </c>
      <c r="K601">
        <v>0.35356110575854099</v>
      </c>
      <c r="L601">
        <v>3512.8657490963901</v>
      </c>
      <c r="M601">
        <v>67.800235928092505</v>
      </c>
      <c r="N601">
        <v>52.669539112068499</v>
      </c>
      <c r="O601">
        <v>51.7669796510921</v>
      </c>
      <c r="P601">
        <v>-0.21800052612507201</v>
      </c>
      <c r="Q601">
        <v>0.33420727568992198</v>
      </c>
      <c r="R601">
        <v>0.98863924527939195</v>
      </c>
      <c r="S601" t="s">
        <v>1927</v>
      </c>
      <c r="T601" t="s">
        <v>2650</v>
      </c>
      <c r="U601" t="s">
        <v>2650</v>
      </c>
      <c r="V601" t="s">
        <v>2650</v>
      </c>
      <c r="W601" t="s">
        <v>3251</v>
      </c>
      <c r="X601">
        <v>1</v>
      </c>
      <c r="Y601" t="s">
        <v>4566</v>
      </c>
      <c r="Z601" t="s">
        <v>5881</v>
      </c>
      <c r="AA601">
        <v>0.5971774622718844</v>
      </c>
      <c r="AB601" t="str">
        <f>HYPERLINK("Melting_Curves/meltCurve_P42330_2_AKR1C3.pdf", "Melting_Curves/meltCurve_P42330_2_AKR1C3.pdf")</f>
        <v>Melting_Curves/meltCurve_P42330_2_AKR1C3.pdf</v>
      </c>
    </row>
    <row r="602" spans="1:28" x14ac:dyDescent="0.25">
      <c r="A602" t="s">
        <v>606</v>
      </c>
      <c r="B602">
        <v>1</v>
      </c>
      <c r="C602">
        <v>0.55742991025335598</v>
      </c>
      <c r="D602">
        <v>0.84635056786593599</v>
      </c>
      <c r="E602">
        <v>1.05597649114447</v>
      </c>
      <c r="F602">
        <v>0.55627035183861495</v>
      </c>
      <c r="G602">
        <v>0.65021046779445602</v>
      </c>
      <c r="H602">
        <v>0.39604479390040498</v>
      </c>
      <c r="I602">
        <v>0.52663013263442104</v>
      </c>
      <c r="J602">
        <v>0.34145024223651799</v>
      </c>
      <c r="K602">
        <v>0.51913271384322102</v>
      </c>
      <c r="L602">
        <v>242.876887213407</v>
      </c>
      <c r="M602">
        <v>3.8378804226918799</v>
      </c>
      <c r="N602">
        <v>63.284122866195801</v>
      </c>
      <c r="O602">
        <v>51.257781813358797</v>
      </c>
      <c r="P602">
        <v>-1.89930408255009E-2</v>
      </c>
      <c r="Q602">
        <v>0</v>
      </c>
      <c r="R602">
        <v>0.50063762826097002</v>
      </c>
      <c r="S602" t="s">
        <v>1928</v>
      </c>
      <c r="T602" t="s">
        <v>2650</v>
      </c>
      <c r="U602" t="s">
        <v>2650</v>
      </c>
      <c r="V602" t="s">
        <v>2650</v>
      </c>
      <c r="W602" t="s">
        <v>3252</v>
      </c>
      <c r="X602">
        <v>1</v>
      </c>
      <c r="Y602" t="s">
        <v>4567</v>
      </c>
      <c r="Z602" t="s">
        <v>5882</v>
      </c>
      <c r="AA602">
        <v>0.64739746001509657</v>
      </c>
      <c r="AB602" t="str">
        <f>HYPERLINK("Melting_Curves/meltCurve_P42566_2_EPS15.pdf", "Melting_Curves/meltCurve_P42566_2_EPS15.pdf")</f>
        <v>Melting_Curves/meltCurve_P42566_2_EPS15.pdf</v>
      </c>
    </row>
    <row r="603" spans="1:28" x14ac:dyDescent="0.25">
      <c r="A603" t="s">
        <v>607</v>
      </c>
      <c r="B603">
        <v>1</v>
      </c>
      <c r="C603">
        <v>0.82330976799761002</v>
      </c>
      <c r="D603">
        <v>1.2440505824952699</v>
      </c>
      <c r="E603">
        <v>1.50443094692821</v>
      </c>
      <c r="F603">
        <v>1.10534700786618</v>
      </c>
      <c r="G603">
        <v>1.3397391217763599</v>
      </c>
      <c r="H603">
        <v>1.3647316538882801</v>
      </c>
      <c r="I603">
        <v>1.68336154535497</v>
      </c>
      <c r="J603">
        <v>1.09285074181022</v>
      </c>
      <c r="K603">
        <v>1.5704470775664601</v>
      </c>
      <c r="L603">
        <v>11473.1296249774</v>
      </c>
      <c r="M603">
        <v>250</v>
      </c>
      <c r="O603">
        <v>45.889581790190398</v>
      </c>
      <c r="P603">
        <v>0.51772335298909999</v>
      </c>
      <c r="Q603">
        <v>1.38012972909453</v>
      </c>
      <c r="R603">
        <v>0.49392422358640597</v>
      </c>
      <c r="S603" t="s">
        <v>1929</v>
      </c>
      <c r="T603" t="s">
        <v>2650</v>
      </c>
      <c r="U603" t="s">
        <v>2650</v>
      </c>
      <c r="V603" t="s">
        <v>2650</v>
      </c>
      <c r="W603" t="s">
        <v>3253</v>
      </c>
      <c r="X603">
        <v>6</v>
      </c>
      <c r="Y603" t="s">
        <v>4568</v>
      </c>
      <c r="Z603" t="s">
        <v>5883</v>
      </c>
      <c r="AA603">
        <v>1.3054350644950621</v>
      </c>
      <c r="AB603" t="str">
        <f>HYPERLINK("Melting_Curves/meltCurve_P42702_LIFR.pdf", "Melting_Curves/meltCurve_P42702_LIFR.pdf")</f>
        <v>Melting_Curves/meltCurve_P42702_LIFR.pdf</v>
      </c>
    </row>
    <row r="604" spans="1:28" x14ac:dyDescent="0.25">
      <c r="A604" t="s">
        <v>608</v>
      </c>
      <c r="B604">
        <v>1</v>
      </c>
      <c r="C604">
        <v>0.66779439696106402</v>
      </c>
      <c r="D604">
        <v>0.89547720797720798</v>
      </c>
      <c r="E604">
        <v>1.11455365622032</v>
      </c>
      <c r="F604">
        <v>0.829059829059829</v>
      </c>
      <c r="G604">
        <v>0.86301044634377999</v>
      </c>
      <c r="H604">
        <v>0.88882953466286796</v>
      </c>
      <c r="I604">
        <v>1.0020180436847099</v>
      </c>
      <c r="J604">
        <v>0.53554131054131004</v>
      </c>
      <c r="K604">
        <v>0.71949192782526095</v>
      </c>
      <c r="L604">
        <v>215.25678239548901</v>
      </c>
      <c r="M604">
        <v>2.0339320498748399</v>
      </c>
      <c r="O604">
        <v>63.507667014184896</v>
      </c>
      <c r="P604">
        <v>-8.6971106306690093E-3</v>
      </c>
      <c r="Q604">
        <v>0</v>
      </c>
      <c r="R604">
        <v>0.13542702465852</v>
      </c>
      <c r="S604" t="s">
        <v>1930</v>
      </c>
      <c r="T604" t="s">
        <v>2650</v>
      </c>
      <c r="U604" t="s">
        <v>2650</v>
      </c>
      <c r="V604" t="s">
        <v>2650</v>
      </c>
      <c r="W604" t="s">
        <v>3254</v>
      </c>
      <c r="X604">
        <v>1</v>
      </c>
      <c r="Y604" t="s">
        <v>4569</v>
      </c>
      <c r="Z604" t="s">
        <v>5884</v>
      </c>
      <c r="AA604">
        <v>0.86261453230983953</v>
      </c>
      <c r="AB604" t="str">
        <f>HYPERLINK("Melting_Curves/meltCurve_P42766_RPL35.pdf", "Melting_Curves/meltCurve_P42766_RPL35.pdf")</f>
        <v>Melting_Curves/meltCurve_P42766_RPL35.pdf</v>
      </c>
    </row>
    <row r="605" spans="1:28" x14ac:dyDescent="0.25">
      <c r="A605" t="s">
        <v>609</v>
      </c>
      <c r="B605">
        <v>1</v>
      </c>
      <c r="C605">
        <v>0.75175325604694399</v>
      </c>
      <c r="D605">
        <v>1.20974667239158</v>
      </c>
      <c r="E605">
        <v>1.50071561471304</v>
      </c>
      <c r="F605">
        <v>1.28467153284672</v>
      </c>
      <c r="G605">
        <v>1.5707027336482</v>
      </c>
      <c r="H605">
        <v>1.47223414913411</v>
      </c>
      <c r="I605">
        <v>1.8200228996708201</v>
      </c>
      <c r="J605">
        <v>1.2141834836124199</v>
      </c>
      <c r="K605">
        <v>1.6647345069414601</v>
      </c>
      <c r="L605">
        <v>11514.943269978799</v>
      </c>
      <c r="M605">
        <v>250</v>
      </c>
      <c r="O605">
        <v>46.056825490670299</v>
      </c>
      <c r="P605">
        <v>0.67850963796786201</v>
      </c>
      <c r="Q605">
        <v>1.5</v>
      </c>
      <c r="R605">
        <v>0.65019867080750005</v>
      </c>
      <c r="S605" t="s">
        <v>1931</v>
      </c>
      <c r="T605" t="s">
        <v>2650</v>
      </c>
      <c r="U605" t="s">
        <v>2650</v>
      </c>
      <c r="V605" t="s">
        <v>2650</v>
      </c>
      <c r="W605" t="s">
        <v>3255</v>
      </c>
      <c r="X605">
        <v>6</v>
      </c>
      <c r="Y605" t="s">
        <v>4570</v>
      </c>
      <c r="Z605" t="s">
        <v>5885</v>
      </c>
      <c r="AA605">
        <v>1.398963364908961</v>
      </c>
      <c r="AB605" t="str">
        <f>HYPERLINK("Melting_Curves/meltCurve_P42785_PRCP.pdf", "Melting_Curves/meltCurve_P42785_PRCP.pdf")</f>
        <v>Melting_Curves/meltCurve_P42785_PRCP.pdf</v>
      </c>
    </row>
    <row r="606" spans="1:28" x14ac:dyDescent="0.25">
      <c r="A606" t="s">
        <v>610</v>
      </c>
      <c r="B606">
        <v>1</v>
      </c>
      <c r="C606">
        <v>0.85691797845898898</v>
      </c>
      <c r="D606">
        <v>1.5599005799502901</v>
      </c>
      <c r="E606">
        <v>2.2519469759734898</v>
      </c>
      <c r="F606">
        <v>1.95410107705054</v>
      </c>
      <c r="G606">
        <v>1.9946147473073701</v>
      </c>
      <c r="H606">
        <v>1.9927091963546</v>
      </c>
      <c r="I606">
        <v>2.51549295774648</v>
      </c>
      <c r="J606">
        <v>1.54971002485501</v>
      </c>
      <c r="K606">
        <v>2.1750621375310701</v>
      </c>
      <c r="L606">
        <v>11119.8202809085</v>
      </c>
      <c r="M606">
        <v>250</v>
      </c>
      <c r="O606">
        <v>44.476438630911098</v>
      </c>
      <c r="P606">
        <v>0.702619268210668</v>
      </c>
      <c r="Q606">
        <v>1.5</v>
      </c>
      <c r="R606">
        <v>-6.5098952321577294E-2</v>
      </c>
      <c r="S606" t="s">
        <v>1932</v>
      </c>
      <c r="T606" t="s">
        <v>2650</v>
      </c>
      <c r="U606" t="s">
        <v>2650</v>
      </c>
      <c r="V606" t="s">
        <v>2650</v>
      </c>
      <c r="W606" t="s">
        <v>3256</v>
      </c>
      <c r="X606">
        <v>7</v>
      </c>
      <c r="Y606" t="s">
        <v>4571</v>
      </c>
      <c r="Z606" t="s">
        <v>5886</v>
      </c>
      <c r="AA606">
        <v>1.425306284383038</v>
      </c>
      <c r="AB606" t="str">
        <f>HYPERLINK("Melting_Curves/meltCurve_P43251_4_BTD.pdf", "Melting_Curves/meltCurve_P43251_4_BTD.pdf")</f>
        <v>Melting_Curves/meltCurve_P43251_4_BTD.pdf</v>
      </c>
    </row>
    <row r="607" spans="1:28" x14ac:dyDescent="0.25">
      <c r="A607" t="s">
        <v>611</v>
      </c>
      <c r="B607">
        <v>1</v>
      </c>
      <c r="C607">
        <v>0.84723645187382002</v>
      </c>
      <c r="D607">
        <v>1.2057158263682899</v>
      </c>
      <c r="E607">
        <v>1.4672957670531099</v>
      </c>
      <c r="F607">
        <v>1.2686438393097901</v>
      </c>
      <c r="G607">
        <v>1.3182528983553501</v>
      </c>
      <c r="H607">
        <v>1.3454839579401501</v>
      </c>
      <c r="I607">
        <v>1.7832839040172599</v>
      </c>
      <c r="J607">
        <v>1.1608519816662199</v>
      </c>
      <c r="K607">
        <v>1.9497977891614999</v>
      </c>
      <c r="L607">
        <v>787.10495152932697</v>
      </c>
      <c r="M607">
        <v>16.199105084309402</v>
      </c>
      <c r="O607">
        <v>47.867016974812898</v>
      </c>
      <c r="P607">
        <v>4.2305515310114401E-2</v>
      </c>
      <c r="Q607">
        <v>1.5</v>
      </c>
      <c r="R607">
        <v>0.46978676294934701</v>
      </c>
      <c r="S607" t="s">
        <v>1933</v>
      </c>
      <c r="T607" t="s">
        <v>2650</v>
      </c>
      <c r="U607" t="s">
        <v>2650</v>
      </c>
      <c r="V607" t="s">
        <v>2650</v>
      </c>
      <c r="W607" t="s">
        <v>3257</v>
      </c>
      <c r="X607">
        <v>2</v>
      </c>
      <c r="Y607" t="s">
        <v>4572</v>
      </c>
      <c r="Z607" t="s">
        <v>5887</v>
      </c>
      <c r="AA607">
        <v>1.3460510771592491</v>
      </c>
      <c r="AB607" t="str">
        <f>HYPERLINK("Melting_Curves/meltCurve_P43490_NAMPT.pdf", "Melting_Curves/meltCurve_P43490_NAMPT.pdf")</f>
        <v>Melting_Curves/meltCurve_P43490_NAMPT.pdf</v>
      </c>
    </row>
    <row r="608" spans="1:28" x14ac:dyDescent="0.25">
      <c r="A608" t="s">
        <v>612</v>
      </c>
      <c r="B608">
        <v>1</v>
      </c>
      <c r="C608">
        <v>0.86360347322720699</v>
      </c>
      <c r="D608">
        <v>1.1919319826338599</v>
      </c>
      <c r="E608">
        <v>1.40918958031838</v>
      </c>
      <c r="F608">
        <v>1.1391099855282201</v>
      </c>
      <c r="G608">
        <v>1.1430445007235901</v>
      </c>
      <c r="H608">
        <v>1.0319735890014501</v>
      </c>
      <c r="I608">
        <v>1.2199258321273501</v>
      </c>
      <c r="J608">
        <v>0.88693921852387803</v>
      </c>
      <c r="K608">
        <v>1.1976302460202599</v>
      </c>
      <c r="L608">
        <v>11128.0683663378</v>
      </c>
      <c r="M608">
        <v>250</v>
      </c>
      <c r="O608">
        <v>44.509413114567998</v>
      </c>
      <c r="P608">
        <v>0.21412485395626599</v>
      </c>
      <c r="Q608">
        <v>1.15248918595022</v>
      </c>
      <c r="R608">
        <v>0.278234427583749</v>
      </c>
      <c r="S608" t="s">
        <v>1934</v>
      </c>
      <c r="T608" t="s">
        <v>2650</v>
      </c>
      <c r="U608" t="s">
        <v>2650</v>
      </c>
      <c r="V608" t="s">
        <v>2650</v>
      </c>
      <c r="W608" t="s">
        <v>3258</v>
      </c>
      <c r="X608">
        <v>11</v>
      </c>
      <c r="Y608" t="s">
        <v>4573</v>
      </c>
      <c r="Z608" t="s">
        <v>5888</v>
      </c>
      <c r="AA608">
        <v>1.1295415101631789</v>
      </c>
      <c r="AB608" t="str">
        <f>HYPERLINK("Melting_Curves/meltCurve_P43652_AFM.pdf", "Melting_Curves/meltCurve_P43652_AFM.pdf")</f>
        <v>Melting_Curves/meltCurve_P43652_AFM.pdf</v>
      </c>
    </row>
    <row r="609" spans="1:28" x14ac:dyDescent="0.25">
      <c r="A609" t="s">
        <v>613</v>
      </c>
      <c r="B609">
        <v>1</v>
      </c>
      <c r="C609">
        <v>0.94444941808415395</v>
      </c>
      <c r="D609">
        <v>1.19662041181737</v>
      </c>
      <c r="E609">
        <v>1.53332587287377</v>
      </c>
      <c r="F609">
        <v>1.4445613249776199</v>
      </c>
      <c r="G609">
        <v>1.9306401074306201</v>
      </c>
      <c r="H609">
        <v>2.8124440465532698</v>
      </c>
      <c r="I609">
        <v>4.3260966875559497</v>
      </c>
      <c r="J609">
        <v>3.4892569382273999</v>
      </c>
      <c r="K609">
        <v>4.5899731423455696</v>
      </c>
      <c r="L609">
        <v>11030.9469726311</v>
      </c>
      <c r="M609">
        <v>239.369475972716</v>
      </c>
      <c r="O609">
        <v>46.080131775046098</v>
      </c>
      <c r="P609">
        <v>0.64932940567738495</v>
      </c>
      <c r="Q609">
        <v>1.5</v>
      </c>
      <c r="R609">
        <v>-0.35931624451385702</v>
      </c>
      <c r="S609" t="s">
        <v>1935</v>
      </c>
      <c r="T609" t="s">
        <v>2650</v>
      </c>
      <c r="U609" t="s">
        <v>2650</v>
      </c>
      <c r="V609" t="s">
        <v>2650</v>
      </c>
      <c r="W609" t="s">
        <v>3259</v>
      </c>
      <c r="X609">
        <v>2</v>
      </c>
      <c r="Y609" t="s">
        <v>4574</v>
      </c>
      <c r="Z609" t="s">
        <v>5889</v>
      </c>
      <c r="AA609">
        <v>1.3985667488047331</v>
      </c>
      <c r="AB609" t="str">
        <f>HYPERLINK("Melting_Curves/meltCurve_P45877_PPIC.pdf", "Melting_Curves/meltCurve_P45877_PPIC.pdf")</f>
        <v>Melting_Curves/meltCurve_P45877_PPIC.pdf</v>
      </c>
    </row>
    <row r="610" spans="1:28" x14ac:dyDescent="0.25">
      <c r="A610" t="s">
        <v>614</v>
      </c>
      <c r="B610">
        <v>1</v>
      </c>
      <c r="C610">
        <v>0.87102818330861098</v>
      </c>
      <c r="D610">
        <v>1.51096885002732</v>
      </c>
      <c r="E610">
        <v>1.7943633382777699</v>
      </c>
      <c r="F610">
        <v>1.6758529159184901</v>
      </c>
      <c r="G610">
        <v>1.63408540869701</v>
      </c>
      <c r="H610">
        <v>1.5577328440939999</v>
      </c>
      <c r="I610">
        <v>1.72519322351472</v>
      </c>
      <c r="J610">
        <v>1.20985244749785</v>
      </c>
      <c r="K610">
        <v>1.5913029900850999</v>
      </c>
      <c r="L610">
        <v>11154.7003194393</v>
      </c>
      <c r="M610">
        <v>250</v>
      </c>
      <c r="O610">
        <v>44.615939650722702</v>
      </c>
      <c r="P610">
        <v>0.70042222230408802</v>
      </c>
      <c r="Q610">
        <v>1.5</v>
      </c>
      <c r="R610">
        <v>0.671333236991006</v>
      </c>
      <c r="S610" t="s">
        <v>1936</v>
      </c>
      <c r="T610" t="s">
        <v>2650</v>
      </c>
      <c r="U610" t="s">
        <v>2650</v>
      </c>
      <c r="V610" t="s">
        <v>2650</v>
      </c>
      <c r="W610" t="s">
        <v>3260</v>
      </c>
      <c r="X610">
        <v>2</v>
      </c>
      <c r="Y610" t="s">
        <v>4575</v>
      </c>
      <c r="Z610" t="s">
        <v>5890</v>
      </c>
      <c r="AA610">
        <v>1.422980826053136</v>
      </c>
      <c r="AB610" t="str">
        <f>HYPERLINK("Melting_Curves/meltCurve_P46108_2_CRK.pdf", "Melting_Curves/meltCurve_P46108_2_CRK.pdf")</f>
        <v>Melting_Curves/meltCurve_P46108_2_CRK.pdf</v>
      </c>
    </row>
    <row r="611" spans="1:28" x14ac:dyDescent="0.25">
      <c r="A611" t="s">
        <v>615</v>
      </c>
      <c r="B611">
        <v>1</v>
      </c>
      <c r="C611">
        <v>0.62432320649721795</v>
      </c>
      <c r="D611">
        <v>0.96132877124379601</v>
      </c>
      <c r="E611">
        <v>1.0894683411039301</v>
      </c>
      <c r="F611">
        <v>0.96800270717401105</v>
      </c>
      <c r="G611">
        <v>0.92132275530154895</v>
      </c>
      <c r="H611">
        <v>1.03013611069334</v>
      </c>
      <c r="I611">
        <v>1.06196420514363</v>
      </c>
      <c r="J611">
        <v>0.84888705068431303</v>
      </c>
      <c r="K611">
        <v>1.05861783726876</v>
      </c>
      <c r="L611">
        <v>1.0000000000000001E-5</v>
      </c>
      <c r="M611">
        <v>1.0000000000000001E-5</v>
      </c>
      <c r="Q611">
        <v>0.91281062528282797</v>
      </c>
      <c r="R611">
        <v>-4.0186656224960904E-9</v>
      </c>
      <c r="S611" t="s">
        <v>1937</v>
      </c>
      <c r="T611" t="s">
        <v>2650</v>
      </c>
      <c r="U611" t="s">
        <v>2650</v>
      </c>
      <c r="V611" t="s">
        <v>2650</v>
      </c>
      <c r="W611" t="s">
        <v>3261</v>
      </c>
      <c r="X611">
        <v>1</v>
      </c>
      <c r="Y611" t="s">
        <v>4576</v>
      </c>
      <c r="Z611" t="s">
        <v>5891</v>
      </c>
      <c r="AA611">
        <v>0.95640509873402302</v>
      </c>
      <c r="AB611" t="str">
        <f>HYPERLINK("Melting_Curves/meltCurve_P46109_CRKL.pdf", "Melting_Curves/meltCurve_P46109_CRKL.pdf")</f>
        <v>Melting_Curves/meltCurve_P46109_CRKL.pdf</v>
      </c>
    </row>
    <row r="612" spans="1:28" x14ac:dyDescent="0.25">
      <c r="A612" t="s">
        <v>616</v>
      </c>
      <c r="B612">
        <v>1</v>
      </c>
      <c r="C612">
        <v>0.77085747392815795</v>
      </c>
      <c r="D612">
        <v>1.09009269988413</v>
      </c>
      <c r="E612">
        <v>1.5973348783314001</v>
      </c>
      <c r="F612">
        <v>1.2972914252607199</v>
      </c>
      <c r="G612">
        <v>1.5431633835457701</v>
      </c>
      <c r="H612">
        <v>1.7060399768250301</v>
      </c>
      <c r="I612">
        <v>1.8477694090382399</v>
      </c>
      <c r="J612">
        <v>1.10168018539977</v>
      </c>
      <c r="K612">
        <v>1.53831112398609</v>
      </c>
      <c r="L612">
        <v>11569.694227165901</v>
      </c>
      <c r="M612">
        <v>250</v>
      </c>
      <c r="O612">
        <v>46.275815388267297</v>
      </c>
      <c r="P612">
        <v>0.67529874480079399</v>
      </c>
      <c r="Q612">
        <v>1.5</v>
      </c>
      <c r="R612">
        <v>0.60991937904718196</v>
      </c>
      <c r="S612" t="s">
        <v>1938</v>
      </c>
      <c r="T612" t="s">
        <v>2650</v>
      </c>
      <c r="U612" t="s">
        <v>2650</v>
      </c>
      <c r="V612" t="s">
        <v>2650</v>
      </c>
      <c r="W612" t="s">
        <v>3262</v>
      </c>
      <c r="X612">
        <v>1</v>
      </c>
      <c r="Y612" t="s">
        <v>4577</v>
      </c>
      <c r="Z612" t="s">
        <v>5892</v>
      </c>
      <c r="AA612">
        <v>1.395313108922331</v>
      </c>
      <c r="AB612" t="str">
        <f>HYPERLINK("Melting_Curves/meltCurve_P46459_2_NSF.pdf", "Melting_Curves/meltCurve_P46459_2_NSF.pdf")</f>
        <v>Melting_Curves/meltCurve_P46459_2_NSF.pdf</v>
      </c>
    </row>
    <row r="613" spans="1:28" x14ac:dyDescent="0.25">
      <c r="A613" t="s">
        <v>617</v>
      </c>
      <c r="B613">
        <v>1</v>
      </c>
      <c r="C613">
        <v>0.737734842891131</v>
      </c>
      <c r="D613">
        <v>1.2169989334646001</v>
      </c>
      <c r="E613">
        <v>1.34225531216671</v>
      </c>
      <c r="F613">
        <v>1.0603002707359099</v>
      </c>
      <c r="G613">
        <v>1.0480761342193801</v>
      </c>
      <c r="H613">
        <v>1.09221429157437</v>
      </c>
      <c r="I613">
        <v>1.3276109607022699</v>
      </c>
      <c r="J613">
        <v>0.77623266879973796</v>
      </c>
      <c r="K613">
        <v>1.1378086799573399</v>
      </c>
      <c r="L613">
        <v>11123.830747981399</v>
      </c>
      <c r="M613">
        <v>250</v>
      </c>
      <c r="O613">
        <v>44.492475780244298</v>
      </c>
      <c r="P613">
        <v>0.17585181311478901</v>
      </c>
      <c r="Q613">
        <v>1.1251853198826001</v>
      </c>
      <c r="R613">
        <v>0.19153416545266</v>
      </c>
      <c r="S613" t="s">
        <v>1939</v>
      </c>
      <c r="T613" t="s">
        <v>2650</v>
      </c>
      <c r="U613" t="s">
        <v>2650</v>
      </c>
      <c r="V613" t="s">
        <v>2650</v>
      </c>
      <c r="W613" t="s">
        <v>3263</v>
      </c>
      <c r="X613">
        <v>1</v>
      </c>
      <c r="Y613" t="s">
        <v>4578</v>
      </c>
      <c r="Z613" t="s">
        <v>5893</v>
      </c>
      <c r="AA613">
        <v>1.1064172627789839</v>
      </c>
      <c r="AB613" t="str">
        <f>HYPERLINK("Melting_Curves/meltCurve_P46783_RPS10.pdf", "Melting_Curves/meltCurve_P46783_RPS10.pdf")</f>
        <v>Melting_Curves/meltCurve_P46783_RPS10.pdf</v>
      </c>
    </row>
    <row r="614" spans="1:28" x14ac:dyDescent="0.25">
      <c r="A614" t="s">
        <v>618</v>
      </c>
      <c r="B614">
        <v>1</v>
      </c>
      <c r="C614">
        <v>0.68583943810890402</v>
      </c>
      <c r="D614">
        <v>0.64860660070991605</v>
      </c>
      <c r="E614">
        <v>1.0175968582433399</v>
      </c>
      <c r="F614">
        <v>0.82833622838154197</v>
      </c>
      <c r="G614">
        <v>1.1820104221735499</v>
      </c>
      <c r="H614">
        <v>1.2429574805528301</v>
      </c>
      <c r="I614">
        <v>1.5424816856732899</v>
      </c>
      <c r="J614">
        <v>1.20036251038441</v>
      </c>
      <c r="K614">
        <v>1.92387281927347</v>
      </c>
      <c r="L614">
        <v>1751.3090591036</v>
      </c>
      <c r="M614">
        <v>29.2422525555296</v>
      </c>
      <c r="O614">
        <v>59.611692380237699</v>
      </c>
      <c r="P614">
        <v>6.1318641033242999E-2</v>
      </c>
      <c r="Q614">
        <v>1.5</v>
      </c>
      <c r="R614">
        <v>0.60294844014365301</v>
      </c>
      <c r="S614" t="s">
        <v>1940</v>
      </c>
      <c r="T614" t="s">
        <v>2650</v>
      </c>
      <c r="U614" t="s">
        <v>2650</v>
      </c>
      <c r="V614" t="s">
        <v>2650</v>
      </c>
      <c r="W614" t="s">
        <v>3264</v>
      </c>
      <c r="X614">
        <v>1</v>
      </c>
      <c r="Y614" t="s">
        <v>4579</v>
      </c>
      <c r="Z614" t="s">
        <v>5894</v>
      </c>
      <c r="AA614">
        <v>1.1653409582770391</v>
      </c>
      <c r="AB614" t="str">
        <f>HYPERLINK("Melting_Curves/meltCurve_P46926_GNPDA1.pdf", "Melting_Curves/meltCurve_P46926_GNPDA1.pdf")</f>
        <v>Melting_Curves/meltCurve_P46926_GNPDA1.pdf</v>
      </c>
    </row>
    <row r="615" spans="1:28" x14ac:dyDescent="0.25">
      <c r="A615" t="s">
        <v>619</v>
      </c>
      <c r="B615">
        <v>1</v>
      </c>
      <c r="C615">
        <v>0.78741540864133297</v>
      </c>
      <c r="D615">
        <v>1.22143414888079</v>
      </c>
      <c r="E615">
        <v>1.5857626236335201</v>
      </c>
      <c r="F615">
        <v>1.6888990109318101</v>
      </c>
      <c r="G615">
        <v>1.9277069234773601</v>
      </c>
      <c r="H615">
        <v>2.1451067152524699</v>
      </c>
      <c r="I615">
        <v>2.5469156689224399</v>
      </c>
      <c r="J615">
        <v>1.7928813118167599</v>
      </c>
      <c r="K615">
        <v>2.2267699115044199</v>
      </c>
      <c r="L615">
        <v>11510.5583482113</v>
      </c>
      <c r="M615">
        <v>250</v>
      </c>
      <c r="O615">
        <v>46.039286778153503</v>
      </c>
      <c r="P615">
        <v>0.67876811471489795</v>
      </c>
      <c r="Q615">
        <v>1.5</v>
      </c>
      <c r="R615">
        <v>0.149207720502503</v>
      </c>
      <c r="S615" t="s">
        <v>1941</v>
      </c>
      <c r="T615" t="s">
        <v>2650</v>
      </c>
      <c r="U615" t="s">
        <v>2650</v>
      </c>
      <c r="V615" t="s">
        <v>2650</v>
      </c>
      <c r="W615" t="s">
        <v>3265</v>
      </c>
      <c r="X615">
        <v>5</v>
      </c>
      <c r="Y615" t="s">
        <v>4580</v>
      </c>
      <c r="Z615" t="s">
        <v>5895</v>
      </c>
      <c r="AA615">
        <v>1.3992557084177319</v>
      </c>
      <c r="AB615" t="str">
        <f>HYPERLINK("Melting_Curves/meltCurve_P46940_IQGAP1.pdf", "Melting_Curves/meltCurve_P46940_IQGAP1.pdf")</f>
        <v>Melting_Curves/meltCurve_P46940_IQGAP1.pdf</v>
      </c>
    </row>
    <row r="616" spans="1:28" x14ac:dyDescent="0.25">
      <c r="A616" t="s">
        <v>620</v>
      </c>
      <c r="B616">
        <v>1</v>
      </c>
      <c r="C616">
        <v>0.84055414102127202</v>
      </c>
      <c r="D616">
        <v>1.2659034864371801</v>
      </c>
      <c r="E616">
        <v>1.2517893301790299</v>
      </c>
      <c r="F616">
        <v>1.08765211812586</v>
      </c>
      <c r="G616">
        <v>1.4674311834639799</v>
      </c>
      <c r="H616">
        <v>1.1749233144208999</v>
      </c>
      <c r="I616">
        <v>1.3417269792898801</v>
      </c>
      <c r="J616">
        <v>0.90853866356582902</v>
      </c>
      <c r="K616">
        <v>1.3142605104352501</v>
      </c>
      <c r="L616">
        <v>11131.4292350372</v>
      </c>
      <c r="M616">
        <v>250</v>
      </c>
      <c r="O616">
        <v>44.522870600214297</v>
      </c>
      <c r="P616">
        <v>0.31800289551253902</v>
      </c>
      <c r="Q616">
        <v>1.22653441271078</v>
      </c>
      <c r="R616">
        <v>0.37419199215356302</v>
      </c>
      <c r="S616" t="s">
        <v>1942</v>
      </c>
      <c r="T616" t="s">
        <v>2650</v>
      </c>
      <c r="U616" t="s">
        <v>2650</v>
      </c>
      <c r="V616" t="s">
        <v>2650</v>
      </c>
      <c r="W616" t="s">
        <v>3266</v>
      </c>
      <c r="X616">
        <v>1</v>
      </c>
      <c r="Y616" t="s">
        <v>4581</v>
      </c>
      <c r="Z616" t="s">
        <v>5896</v>
      </c>
      <c r="AA616">
        <v>1.192342356567841</v>
      </c>
      <c r="AB616" t="str">
        <f>HYPERLINK("Melting_Curves/meltCurve_P46976_3_GYG1.pdf", "Melting_Curves/meltCurve_P46976_3_GYG1.pdf")</f>
        <v>Melting_Curves/meltCurve_P46976_3_GYG1.pdf</v>
      </c>
    </row>
    <row r="617" spans="1:28" x14ac:dyDescent="0.25">
      <c r="A617" t="s">
        <v>621</v>
      </c>
      <c r="B617">
        <v>1</v>
      </c>
      <c r="C617">
        <v>0.85954625411573704</v>
      </c>
      <c r="D617">
        <v>0.91873769037631703</v>
      </c>
      <c r="E617">
        <v>0.96242839745613595</v>
      </c>
      <c r="F617">
        <v>0.86037316013410903</v>
      </c>
      <c r="G617">
        <v>0.93850826154285605</v>
      </c>
      <c r="H617">
        <v>0.79631049569257095</v>
      </c>
      <c r="I617">
        <v>0.81555485393832805</v>
      </c>
      <c r="J617">
        <v>0.77091696360110096</v>
      </c>
      <c r="K617">
        <v>0.75430366995925602</v>
      </c>
      <c r="L617">
        <v>201.24773312646099</v>
      </c>
      <c r="M617">
        <v>1.7145784970773801</v>
      </c>
      <c r="O617">
        <v>63.118770222890902</v>
      </c>
      <c r="P617">
        <v>-7.6595633918835797E-3</v>
      </c>
      <c r="Q617">
        <v>0</v>
      </c>
      <c r="R617">
        <v>0.671444498946553</v>
      </c>
      <c r="S617" t="s">
        <v>1943</v>
      </c>
      <c r="T617" t="s">
        <v>2650</v>
      </c>
      <c r="U617" t="s">
        <v>2650</v>
      </c>
      <c r="V617" t="s">
        <v>2650</v>
      </c>
      <c r="W617" t="s">
        <v>3267</v>
      </c>
      <c r="X617">
        <v>2</v>
      </c>
      <c r="Y617" t="s">
        <v>4582</v>
      </c>
      <c r="Z617" t="s">
        <v>5897</v>
      </c>
      <c r="AA617">
        <v>0.87102760290164416</v>
      </c>
      <c r="AB617" t="str">
        <f>HYPERLINK("Melting_Curves/meltCurve_P47710_4_CSN1S1.pdf", "Melting_Curves/meltCurve_P47710_4_CSN1S1.pdf")</f>
        <v>Melting_Curves/meltCurve_P47710_4_CSN1S1.pdf</v>
      </c>
    </row>
    <row r="618" spans="1:28" x14ac:dyDescent="0.25">
      <c r="A618" t="s">
        <v>622</v>
      </c>
      <c r="B618">
        <v>1</v>
      </c>
      <c r="C618">
        <v>0.86445990940996498</v>
      </c>
      <c r="D618">
        <v>1.4936706962234201</v>
      </c>
      <c r="E618">
        <v>2.1527132015478299</v>
      </c>
      <c r="F618">
        <v>2.0604733479317301</v>
      </c>
      <c r="G618">
        <v>2.21225665176831</v>
      </c>
      <c r="H618">
        <v>2.1554129045804999</v>
      </c>
      <c r="I618">
        <v>3.1285058643549202</v>
      </c>
      <c r="J618">
        <v>1.7093619701832801</v>
      </c>
      <c r="K618">
        <v>2.4807271200168</v>
      </c>
      <c r="L618">
        <v>11299.7223168979</v>
      </c>
      <c r="M618">
        <v>250</v>
      </c>
      <c r="O618">
        <v>45.195997475349202</v>
      </c>
      <c r="P618">
        <v>0.69143291934057405</v>
      </c>
      <c r="Q618">
        <v>1.5</v>
      </c>
      <c r="R618">
        <v>-0.28187872426931299</v>
      </c>
      <c r="S618" t="s">
        <v>1944</v>
      </c>
      <c r="T618" t="s">
        <v>2650</v>
      </c>
      <c r="U618" t="s">
        <v>2650</v>
      </c>
      <c r="V618" t="s">
        <v>2650</v>
      </c>
      <c r="W618" t="s">
        <v>3268</v>
      </c>
      <c r="X618">
        <v>5</v>
      </c>
      <c r="Y618" t="s">
        <v>4583</v>
      </c>
      <c r="Z618" t="s">
        <v>5898</v>
      </c>
      <c r="AA618">
        <v>1.413312183866533</v>
      </c>
      <c r="AB618" t="str">
        <f>HYPERLINK("Melting_Curves/meltCurve_P47755_CAPZA2.pdf", "Melting_Curves/meltCurve_P47755_CAPZA2.pdf")</f>
        <v>Melting_Curves/meltCurve_P47755_CAPZA2.pdf</v>
      </c>
    </row>
    <row r="619" spans="1:28" x14ac:dyDescent="0.25">
      <c r="A619" t="s">
        <v>623</v>
      </c>
      <c r="B619">
        <v>1</v>
      </c>
      <c r="C619">
        <v>0.87925619577723202</v>
      </c>
      <c r="D619">
        <v>1.46298081408004</v>
      </c>
      <c r="E619">
        <v>2.0653627289405798</v>
      </c>
      <c r="F619">
        <v>1.7657576417177201</v>
      </c>
      <c r="G619">
        <v>2.0555676482477701</v>
      </c>
      <c r="H619">
        <v>1.91377219440903</v>
      </c>
      <c r="I619">
        <v>2.4237383003202799</v>
      </c>
      <c r="J619">
        <v>1.6376442053546401</v>
      </c>
      <c r="K619">
        <v>2.1361049783886301</v>
      </c>
      <c r="L619">
        <v>11383.7930723845</v>
      </c>
      <c r="M619">
        <v>250</v>
      </c>
      <c r="O619">
        <v>45.532261856767498</v>
      </c>
      <c r="P619">
        <v>0.68632659948492003</v>
      </c>
      <c r="Q619">
        <v>1.5</v>
      </c>
      <c r="R619">
        <v>3.3303411634379602E-2</v>
      </c>
      <c r="S619" t="s">
        <v>1945</v>
      </c>
      <c r="T619" t="s">
        <v>2650</v>
      </c>
      <c r="U619" t="s">
        <v>2650</v>
      </c>
      <c r="V619" t="s">
        <v>2650</v>
      </c>
      <c r="W619" t="s">
        <v>3269</v>
      </c>
      <c r="X619">
        <v>4</v>
      </c>
      <c r="Y619" t="s">
        <v>4584</v>
      </c>
      <c r="Z619" t="s">
        <v>5899</v>
      </c>
      <c r="AA619">
        <v>1.40770717174836</v>
      </c>
      <c r="AB619" t="str">
        <f>HYPERLINK("Melting_Curves/meltCurve_P47756_2_CAPZB.pdf", "Melting_Curves/meltCurve_P47756_2_CAPZB.pdf")</f>
        <v>Melting_Curves/meltCurve_P47756_2_CAPZB.pdf</v>
      </c>
    </row>
    <row r="620" spans="1:28" x14ac:dyDescent="0.25">
      <c r="A620" t="s">
        <v>624</v>
      </c>
      <c r="B620">
        <v>1</v>
      </c>
      <c r="C620">
        <v>0.80193914652038001</v>
      </c>
      <c r="D620">
        <v>1.18855648402118</v>
      </c>
      <c r="E620">
        <v>1.3936339860942799</v>
      </c>
      <c r="F620">
        <v>1.1670600242393301</v>
      </c>
      <c r="G620">
        <v>1.2774127703004401</v>
      </c>
      <c r="H620">
        <v>1.38330037634752</v>
      </c>
      <c r="I620">
        <v>1.6605217835045001</v>
      </c>
      <c r="J620">
        <v>1.0983606557377099</v>
      </c>
      <c r="K620">
        <v>1.5054538495885701</v>
      </c>
      <c r="L620">
        <v>11494.2912364149</v>
      </c>
      <c r="M620">
        <v>250</v>
      </c>
      <c r="O620">
        <v>45.974222725617899</v>
      </c>
      <c r="P620">
        <v>0.48275178257107598</v>
      </c>
      <c r="Q620">
        <v>1.35510620704885</v>
      </c>
      <c r="R620">
        <v>0.53542909436638397</v>
      </c>
      <c r="S620" t="s">
        <v>1946</v>
      </c>
      <c r="T620" t="s">
        <v>2650</v>
      </c>
      <c r="U620" t="s">
        <v>2650</v>
      </c>
      <c r="V620" t="s">
        <v>2650</v>
      </c>
      <c r="W620" t="s">
        <v>3270</v>
      </c>
      <c r="X620">
        <v>2</v>
      </c>
      <c r="Y620" t="s">
        <v>4585</v>
      </c>
      <c r="Z620" t="s">
        <v>5900</v>
      </c>
      <c r="AA620">
        <v>1.2843266080513049</v>
      </c>
      <c r="AB620" t="str">
        <f>HYPERLINK("Melting_Curves/meltCurve_P47895_ALDH1A3.pdf", "Melting_Curves/meltCurve_P47895_ALDH1A3.pdf")</f>
        <v>Melting_Curves/meltCurve_P47895_ALDH1A3.pdf</v>
      </c>
    </row>
    <row r="621" spans="1:28" x14ac:dyDescent="0.25">
      <c r="A621" t="s">
        <v>625</v>
      </c>
      <c r="B621">
        <v>1</v>
      </c>
      <c r="C621">
        <v>0.740446821357716</v>
      </c>
      <c r="D621">
        <v>1.24290520141465</v>
      </c>
      <c r="E621">
        <v>1.5411886483222601</v>
      </c>
      <c r="F621">
        <v>1.5074182696454801</v>
      </c>
      <c r="G621">
        <v>1.3630639178814801</v>
      </c>
      <c r="H621">
        <v>0.89260760803933403</v>
      </c>
      <c r="I621">
        <v>1.1959372034848601</v>
      </c>
      <c r="J621">
        <v>0.80643491762270303</v>
      </c>
      <c r="K621">
        <v>1.2272923315794</v>
      </c>
      <c r="L621">
        <v>11156.409781033</v>
      </c>
      <c r="M621">
        <v>250</v>
      </c>
      <c r="O621">
        <v>44.622790428927701</v>
      </c>
      <c r="P621">
        <v>0.31110642705210101</v>
      </c>
      <c r="Q621">
        <v>1.2221189550617499</v>
      </c>
      <c r="R621">
        <v>0.22919515982154201</v>
      </c>
      <c r="S621" t="s">
        <v>1947</v>
      </c>
      <c r="T621" t="s">
        <v>2650</v>
      </c>
      <c r="U621" t="s">
        <v>2650</v>
      </c>
      <c r="V621" t="s">
        <v>2650</v>
      </c>
      <c r="W621" t="s">
        <v>3271</v>
      </c>
      <c r="X621">
        <v>1</v>
      </c>
      <c r="Y621" t="s">
        <v>4586</v>
      </c>
      <c r="Z621" t="s">
        <v>5901</v>
      </c>
      <c r="AA621">
        <v>1.187853488346271</v>
      </c>
      <c r="AB621" t="str">
        <f>HYPERLINK("Melting_Curves/meltCurve_P47914_RPL29.pdf", "Melting_Curves/meltCurve_P47914_RPL29.pdf")</f>
        <v>Melting_Curves/meltCurve_P47914_RPL29.pdf</v>
      </c>
    </row>
    <row r="622" spans="1:28" x14ac:dyDescent="0.25">
      <c r="A622" t="s">
        <v>626</v>
      </c>
      <c r="B622">
        <v>1</v>
      </c>
      <c r="C622">
        <v>0.71685700752591996</v>
      </c>
      <c r="D622">
        <v>1.15888637440135</v>
      </c>
      <c r="E622">
        <v>1.46064242232865</v>
      </c>
      <c r="F622">
        <v>1.2611090644352001</v>
      </c>
      <c r="G622">
        <v>1.2944757293475799</v>
      </c>
      <c r="H622">
        <v>4.3180183499114104</v>
      </c>
      <c r="I622">
        <v>1.57582934231532</v>
      </c>
      <c r="J622">
        <v>0.68954265564970296</v>
      </c>
      <c r="K622">
        <v>1.0180692244267799</v>
      </c>
      <c r="L622">
        <v>11535.1452145045</v>
      </c>
      <c r="M622">
        <v>250</v>
      </c>
      <c r="O622">
        <v>46.137628194649601</v>
      </c>
      <c r="P622">
        <v>0.67732133788050597</v>
      </c>
      <c r="Q622">
        <v>1.5</v>
      </c>
      <c r="R622">
        <v>8.8347500758107794E-2</v>
      </c>
      <c r="S622" t="s">
        <v>1948</v>
      </c>
      <c r="T622" t="s">
        <v>2650</v>
      </c>
      <c r="U622" t="s">
        <v>2650</v>
      </c>
      <c r="V622" t="s">
        <v>2650</v>
      </c>
      <c r="W622" t="s">
        <v>3272</v>
      </c>
      <c r="X622">
        <v>1</v>
      </c>
      <c r="Y622" t="s">
        <v>4587</v>
      </c>
      <c r="Z622" t="s">
        <v>5902</v>
      </c>
      <c r="AA622">
        <v>1.3976164976990499</v>
      </c>
      <c r="AB622" t="str">
        <f>HYPERLINK("Melting_Curves/meltCurve_P47929_LGALS7.pdf", "Melting_Curves/meltCurve_P47929_LGALS7.pdf")</f>
        <v>Melting_Curves/meltCurve_P47929_LGALS7.pdf</v>
      </c>
    </row>
    <row r="623" spans="1:28" x14ac:dyDescent="0.25">
      <c r="A623" t="s">
        <v>627</v>
      </c>
      <c r="B623">
        <v>1</v>
      </c>
      <c r="C623">
        <v>0.91818681318681294</v>
      </c>
      <c r="D623">
        <v>1.40225274725275</v>
      </c>
      <c r="E623">
        <v>1.7824175824175801</v>
      </c>
      <c r="F623">
        <v>1.26239010989011</v>
      </c>
      <c r="G623">
        <v>1.43464285714286</v>
      </c>
      <c r="H623">
        <v>1.1752197802197799</v>
      </c>
      <c r="I623">
        <v>1.38214285714286</v>
      </c>
      <c r="J623">
        <v>0.85934065934065895</v>
      </c>
      <c r="K623">
        <v>1.2216758241758201</v>
      </c>
      <c r="L623">
        <v>11099.1043526061</v>
      </c>
      <c r="M623">
        <v>250</v>
      </c>
      <c r="O623">
        <v>44.393576382761502</v>
      </c>
      <c r="P623">
        <v>0.44349505132423001</v>
      </c>
      <c r="Q623">
        <v>1.3150133022674899</v>
      </c>
      <c r="R623">
        <v>0.289041426842229</v>
      </c>
      <c r="S623" t="s">
        <v>1949</v>
      </c>
      <c r="T623" t="s">
        <v>2650</v>
      </c>
      <c r="U623" t="s">
        <v>2650</v>
      </c>
      <c r="V623" t="s">
        <v>2650</v>
      </c>
      <c r="W623" t="s">
        <v>3273</v>
      </c>
      <c r="X623">
        <v>3</v>
      </c>
      <c r="Y623" t="s">
        <v>4588</v>
      </c>
      <c r="Z623" t="s">
        <v>5903</v>
      </c>
      <c r="AA623">
        <v>1.268824425779103</v>
      </c>
      <c r="AB623" t="str">
        <f>HYPERLINK("Melting_Curves/meltCurve_P47972_NPTX2.pdf", "Melting_Curves/meltCurve_P47972_NPTX2.pdf")</f>
        <v>Melting_Curves/meltCurve_P47972_NPTX2.pdf</v>
      </c>
    </row>
    <row r="624" spans="1:28" x14ac:dyDescent="0.25">
      <c r="A624" t="s">
        <v>628</v>
      </c>
      <c r="B624">
        <v>1</v>
      </c>
      <c r="C624">
        <v>0.93416932243314399</v>
      </c>
      <c r="D624">
        <v>1.2533324095884699</v>
      </c>
      <c r="E624">
        <v>1.59387557156713</v>
      </c>
      <c r="F624">
        <v>1.8304004433975301</v>
      </c>
      <c r="G624">
        <v>2.4249688236109201</v>
      </c>
      <c r="H624">
        <v>1.8712761535264</v>
      </c>
      <c r="I624">
        <v>2.0022169876680098</v>
      </c>
      <c r="J624">
        <v>1.9078564500485</v>
      </c>
      <c r="K624">
        <v>1.8177913260357501</v>
      </c>
      <c r="L624">
        <v>11498.7736018949</v>
      </c>
      <c r="M624">
        <v>250</v>
      </c>
      <c r="O624">
        <v>45.992151050052598</v>
      </c>
      <c r="P624">
        <v>0.67946376368751604</v>
      </c>
      <c r="Q624">
        <v>1.5</v>
      </c>
      <c r="R624">
        <v>0.18004028166519101</v>
      </c>
      <c r="S624" t="s">
        <v>1950</v>
      </c>
      <c r="T624" t="s">
        <v>2650</v>
      </c>
      <c r="U624" t="s">
        <v>2650</v>
      </c>
      <c r="V624" t="s">
        <v>2650</v>
      </c>
      <c r="W624" t="s">
        <v>3274</v>
      </c>
      <c r="X624">
        <v>4</v>
      </c>
      <c r="Y624" t="s">
        <v>4589</v>
      </c>
      <c r="Z624" t="s">
        <v>5904</v>
      </c>
      <c r="AA624">
        <v>1.400041399536252</v>
      </c>
      <c r="AB624" t="str">
        <f>HYPERLINK("Melting_Curves/meltCurve_P47989_XDH.pdf", "Melting_Curves/meltCurve_P47989_XDH.pdf")</f>
        <v>Melting_Curves/meltCurve_P47989_XDH.pdf</v>
      </c>
    </row>
    <row r="625" spans="1:28" x14ac:dyDescent="0.25">
      <c r="A625" t="s">
        <v>629</v>
      </c>
      <c r="B625">
        <v>1</v>
      </c>
      <c r="C625">
        <v>0.74673965268721298</v>
      </c>
      <c r="D625">
        <v>1.2247408881872499</v>
      </c>
      <c r="E625">
        <v>1.43753860937607</v>
      </c>
      <c r="F625">
        <v>1.1316665522685201</v>
      </c>
      <c r="G625">
        <v>1.05858329329398</v>
      </c>
      <c r="H625">
        <v>1.11207014894639</v>
      </c>
      <c r="I625">
        <v>1.13547601070767</v>
      </c>
      <c r="J625">
        <v>0.72577047154917995</v>
      </c>
      <c r="K625">
        <v>0.99483492346763702</v>
      </c>
      <c r="L625">
        <v>2036.4320877496</v>
      </c>
      <c r="M625">
        <v>30.710279296112599</v>
      </c>
      <c r="O625">
        <v>66.031820780379704</v>
      </c>
      <c r="P625">
        <v>-1.27501647286428E-2</v>
      </c>
      <c r="Q625">
        <v>0.89034139525018496</v>
      </c>
      <c r="R625">
        <v>-4.6698385259263502E-2</v>
      </c>
      <c r="S625" t="s">
        <v>1951</v>
      </c>
      <c r="T625" t="s">
        <v>2650</v>
      </c>
      <c r="U625" t="s">
        <v>2650</v>
      </c>
      <c r="V625" t="s">
        <v>2650</v>
      </c>
      <c r="W625" t="s">
        <v>3275</v>
      </c>
      <c r="X625">
        <v>1</v>
      </c>
      <c r="Y625" t="s">
        <v>4590</v>
      </c>
      <c r="Z625" t="s">
        <v>5905</v>
      </c>
      <c r="AA625">
        <v>0.98565532099666886</v>
      </c>
      <c r="AB625" t="str">
        <f>HYPERLINK("Melting_Curves/meltCurve_P48059_LIMS1.pdf", "Melting_Curves/meltCurve_P48059_LIMS1.pdf")</f>
        <v>Melting_Curves/meltCurve_P48059_LIMS1.pdf</v>
      </c>
    </row>
    <row r="626" spans="1:28" x14ac:dyDescent="0.25">
      <c r="A626" t="s">
        <v>630</v>
      </c>
      <c r="B626">
        <v>1</v>
      </c>
      <c r="C626">
        <v>0.763314699920143</v>
      </c>
      <c r="D626">
        <v>1.2111923336814301</v>
      </c>
      <c r="E626">
        <v>1.40506173597887</v>
      </c>
      <c r="F626">
        <v>1.1168376435898999</v>
      </c>
      <c r="G626">
        <v>1.04158732108852</v>
      </c>
      <c r="H626">
        <v>1.05264451133362</v>
      </c>
      <c r="I626">
        <v>1.2255666810000601</v>
      </c>
      <c r="J626">
        <v>0.65888568093863298</v>
      </c>
      <c r="K626">
        <v>1.0045457337674299</v>
      </c>
      <c r="L626">
        <v>2031.4831696214601</v>
      </c>
      <c r="M626">
        <v>30.5822164481676</v>
      </c>
      <c r="O626">
        <v>66.144855454293705</v>
      </c>
      <c r="P626">
        <v>-1.4207508505478601E-2</v>
      </c>
      <c r="Q626">
        <v>0.87708570090008997</v>
      </c>
      <c r="R626">
        <v>-1.5754615448516199E-2</v>
      </c>
      <c r="S626" t="s">
        <v>1952</v>
      </c>
      <c r="T626" t="s">
        <v>2650</v>
      </c>
      <c r="U626" t="s">
        <v>2650</v>
      </c>
      <c r="V626" t="s">
        <v>2650</v>
      </c>
      <c r="W626" t="s">
        <v>3276</v>
      </c>
      <c r="X626">
        <v>5</v>
      </c>
      <c r="Y626" t="s">
        <v>4591</v>
      </c>
      <c r="Z626" t="s">
        <v>5906</v>
      </c>
      <c r="AA626">
        <v>0.98429656197334359</v>
      </c>
      <c r="AB626" t="str">
        <f>HYPERLINK("Melting_Curves/meltCurve_P48307_2_TFPI2.pdf", "Melting_Curves/meltCurve_P48307_2_TFPI2.pdf")</f>
        <v>Melting_Curves/meltCurve_P48307_2_TFPI2.pdf</v>
      </c>
    </row>
    <row r="627" spans="1:28" x14ac:dyDescent="0.25">
      <c r="A627" t="s">
        <v>631</v>
      </c>
      <c r="B627">
        <v>1</v>
      </c>
      <c r="C627">
        <v>1.0440751035225999</v>
      </c>
      <c r="D627">
        <v>1.4663906063872001</v>
      </c>
      <c r="E627">
        <v>1.7760508253445999</v>
      </c>
      <c r="F627">
        <v>1.2831130523569101</v>
      </c>
      <c r="G627">
        <v>1.4865278801974</v>
      </c>
      <c r="H627">
        <v>1.35838674910659</v>
      </c>
      <c r="I627">
        <v>1.49293777298769</v>
      </c>
      <c r="J627">
        <v>0.87265301491860003</v>
      </c>
      <c r="K627">
        <v>1.3841397696976601</v>
      </c>
      <c r="L627">
        <v>10813.3908511646</v>
      </c>
      <c r="M627">
        <v>250</v>
      </c>
      <c r="O627">
        <v>43.250794065031201</v>
      </c>
      <c r="P627">
        <v>0.56360953122574398</v>
      </c>
      <c r="Q627">
        <v>1.39002496845042</v>
      </c>
      <c r="R627">
        <v>0.32360813632337898</v>
      </c>
      <c r="S627" t="s">
        <v>1953</v>
      </c>
      <c r="T627" t="s">
        <v>2650</v>
      </c>
      <c r="U627" t="s">
        <v>2650</v>
      </c>
      <c r="V627" t="s">
        <v>2650</v>
      </c>
      <c r="W627" t="s">
        <v>3277</v>
      </c>
      <c r="X627">
        <v>2</v>
      </c>
      <c r="Y627" t="s">
        <v>4592</v>
      </c>
      <c r="Z627" t="s">
        <v>5907</v>
      </c>
      <c r="AA627">
        <v>1.3476963297715541</v>
      </c>
      <c r="AB627" t="str">
        <f>HYPERLINK("Melting_Curves/meltCurve_P48594_SERPINB4.pdf", "Melting_Curves/meltCurve_P48594_SERPINB4.pdf")</f>
        <v>Melting_Curves/meltCurve_P48594_SERPINB4.pdf</v>
      </c>
    </row>
    <row r="628" spans="1:28" x14ac:dyDescent="0.25">
      <c r="A628" t="s">
        <v>632</v>
      </c>
      <c r="B628">
        <v>1</v>
      </c>
      <c r="C628">
        <v>0.57709432275368799</v>
      </c>
      <c r="D628">
        <v>0.94244076888690198</v>
      </c>
      <c r="E628">
        <v>1.2492802860974499</v>
      </c>
      <c r="F628">
        <v>0.84872597228430902</v>
      </c>
      <c r="G628">
        <v>0.89308895842646396</v>
      </c>
      <c r="H628">
        <v>0.85752346893160503</v>
      </c>
      <c r="I628">
        <v>0.946589181940098</v>
      </c>
      <c r="J628">
        <v>0.49607510058113502</v>
      </c>
      <c r="K628">
        <v>0.88522127849798804</v>
      </c>
      <c r="L628">
        <v>195.59963602308801</v>
      </c>
      <c r="M628">
        <v>1.54079524741052</v>
      </c>
      <c r="O628">
        <v>63.397368284205001</v>
      </c>
      <c r="P628">
        <v>-7.0540141781919898E-3</v>
      </c>
      <c r="Q628">
        <v>0</v>
      </c>
      <c r="R628">
        <v>5.4652874199348798E-2</v>
      </c>
      <c r="S628" t="s">
        <v>1954</v>
      </c>
      <c r="T628" t="s">
        <v>2650</v>
      </c>
      <c r="U628" t="s">
        <v>2650</v>
      </c>
      <c r="V628" t="s">
        <v>2650</v>
      </c>
      <c r="W628" t="s">
        <v>3278</v>
      </c>
      <c r="X628">
        <v>1</v>
      </c>
      <c r="Y628" t="s">
        <v>4593</v>
      </c>
      <c r="Z628" t="s">
        <v>5908</v>
      </c>
      <c r="AA628">
        <v>0.87900943953377664</v>
      </c>
      <c r="AB628" t="str">
        <f>HYPERLINK("Melting_Curves/meltCurve_P48634_4_PRRC2A.pdf", "Melting_Curves/meltCurve_P48634_4_PRRC2A.pdf")</f>
        <v>Melting_Curves/meltCurve_P48634_4_PRRC2A.pdf</v>
      </c>
    </row>
    <row r="629" spans="1:28" x14ac:dyDescent="0.25">
      <c r="A629" t="s">
        <v>633</v>
      </c>
      <c r="B629">
        <v>1</v>
      </c>
      <c r="C629">
        <v>0.90957989427802999</v>
      </c>
      <c r="D629">
        <v>1.39163498098859</v>
      </c>
      <c r="E629">
        <v>2.4955330922130501</v>
      </c>
      <c r="F629">
        <v>2.3405669417910899</v>
      </c>
      <c r="G629">
        <v>2.5658289282512601</v>
      </c>
      <c r="H629">
        <v>2.2326810720578698</v>
      </c>
      <c r="I629">
        <v>2.9340628767504402</v>
      </c>
      <c r="J629">
        <v>2.0810535101548702</v>
      </c>
      <c r="K629">
        <v>2.4698135954743599</v>
      </c>
      <c r="L629">
        <v>11440.898070170901</v>
      </c>
      <c r="M629">
        <v>250</v>
      </c>
      <c r="O629">
        <v>45.760663716662002</v>
      </c>
      <c r="P629">
        <v>0.68290093499779003</v>
      </c>
      <c r="Q629">
        <v>1.5</v>
      </c>
      <c r="R629">
        <v>-0.53376265712056703</v>
      </c>
      <c r="S629" t="s">
        <v>1955</v>
      </c>
      <c r="T629" t="s">
        <v>2650</v>
      </c>
      <c r="U629" t="s">
        <v>2650</v>
      </c>
      <c r="V629" t="s">
        <v>2650</v>
      </c>
      <c r="W629" t="s">
        <v>3279</v>
      </c>
      <c r="X629">
        <v>7</v>
      </c>
      <c r="Y629" t="s">
        <v>4594</v>
      </c>
      <c r="Z629" t="s">
        <v>5909</v>
      </c>
      <c r="AA629">
        <v>1.403899971459162</v>
      </c>
      <c r="AB629" t="str">
        <f>HYPERLINK("Melting_Curves/meltCurve_P48637_GSS.pdf", "Melting_Curves/meltCurve_P48637_GSS.pdf")</f>
        <v>Melting_Curves/meltCurve_P48637_GSS.pdf</v>
      </c>
    </row>
    <row r="630" spans="1:28" x14ac:dyDescent="0.25">
      <c r="A630" t="s">
        <v>634</v>
      </c>
      <c r="B630">
        <v>1</v>
      </c>
      <c r="C630">
        <v>0.81198076082203796</v>
      </c>
      <c r="D630">
        <v>1.1398484185978699</v>
      </c>
      <c r="E630">
        <v>1.3362483602973301</v>
      </c>
      <c r="F630">
        <v>1.1023174464363801</v>
      </c>
      <c r="G630">
        <v>1.2037603847835601</v>
      </c>
      <c r="H630">
        <v>1.1071272409269799</v>
      </c>
      <c r="I630">
        <v>1.41378807753972</v>
      </c>
      <c r="J630">
        <v>0.89848418597872004</v>
      </c>
      <c r="K630">
        <v>1.2096633143856601</v>
      </c>
      <c r="L630">
        <v>11444.424026835501</v>
      </c>
      <c r="M630">
        <v>250</v>
      </c>
      <c r="O630">
        <v>45.774766548063099</v>
      </c>
      <c r="P630">
        <v>0.24799007747058799</v>
      </c>
      <c r="Q630">
        <v>1.1816270065849099</v>
      </c>
      <c r="R630">
        <v>0.32818732107111998</v>
      </c>
      <c r="S630" t="s">
        <v>1956</v>
      </c>
      <c r="T630" t="s">
        <v>2650</v>
      </c>
      <c r="U630" t="s">
        <v>2650</v>
      </c>
      <c r="V630" t="s">
        <v>2650</v>
      </c>
      <c r="W630" t="s">
        <v>3280</v>
      </c>
      <c r="X630">
        <v>8</v>
      </c>
      <c r="Y630" t="s">
        <v>4595</v>
      </c>
      <c r="Z630" t="s">
        <v>5910</v>
      </c>
      <c r="AA630">
        <v>1.146632893195507</v>
      </c>
      <c r="AB630" t="str">
        <f>HYPERLINK("Melting_Curves/meltCurve_P48723_HSPA13.pdf", "Melting_Curves/meltCurve_P48723_HSPA13.pdf")</f>
        <v>Melting_Curves/meltCurve_P48723_HSPA13.pdf</v>
      </c>
    </row>
    <row r="631" spans="1:28" x14ac:dyDescent="0.25">
      <c r="A631" t="s">
        <v>635</v>
      </c>
      <c r="B631">
        <v>1</v>
      </c>
      <c r="C631">
        <v>0.71366439386343095</v>
      </c>
      <c r="D631">
        <v>1.1470971623383099</v>
      </c>
      <c r="E631">
        <v>1.3471372706307001</v>
      </c>
      <c r="F631">
        <v>0.96237340820214601</v>
      </c>
      <c r="G631">
        <v>1.0061791837962499</v>
      </c>
      <c r="H631">
        <v>0.92464654567331805</v>
      </c>
      <c r="I631">
        <v>1.09008071793843</v>
      </c>
      <c r="J631">
        <v>0.61742955981149095</v>
      </c>
      <c r="K631">
        <v>0.92606286974831997</v>
      </c>
      <c r="L631">
        <v>15000</v>
      </c>
      <c r="M631">
        <v>229.393502826598</v>
      </c>
      <c r="O631">
        <v>65.3848565692644</v>
      </c>
      <c r="P631">
        <v>-0.20005321826651601</v>
      </c>
      <c r="Q631">
        <v>0.77191246283126103</v>
      </c>
      <c r="R631">
        <v>0.25143738491412199</v>
      </c>
      <c r="S631" t="s">
        <v>1957</v>
      </c>
      <c r="T631" t="s">
        <v>2650</v>
      </c>
      <c r="U631" t="s">
        <v>2650</v>
      </c>
      <c r="V631" t="s">
        <v>2650</v>
      </c>
      <c r="W631" t="s">
        <v>3281</v>
      </c>
      <c r="X631">
        <v>8</v>
      </c>
      <c r="Y631" t="s">
        <v>4596</v>
      </c>
      <c r="Z631" t="s">
        <v>5911</v>
      </c>
      <c r="AA631">
        <v>0.96498027392024477</v>
      </c>
      <c r="AB631" t="str">
        <f>HYPERLINK("Melting_Curves/meltCurve_P48745_NOV.pdf", "Melting_Curves/meltCurve_P48745_NOV.pdf")</f>
        <v>Melting_Curves/meltCurve_P48745_NOV.pdf</v>
      </c>
    </row>
    <row r="632" spans="1:28" x14ac:dyDescent="0.25">
      <c r="A632" t="s">
        <v>636</v>
      </c>
      <c r="B632">
        <v>1</v>
      </c>
      <c r="C632">
        <v>0.69412085085781705</v>
      </c>
      <c r="D632">
        <v>1.15109383037308</v>
      </c>
      <c r="E632">
        <v>1.37740930134043</v>
      </c>
      <c r="F632">
        <v>1.1301703531120499</v>
      </c>
      <c r="G632">
        <v>1.3576810190928601</v>
      </c>
      <c r="H632">
        <v>1.4589851432721099</v>
      </c>
      <c r="I632">
        <v>2.05543284214348</v>
      </c>
      <c r="J632">
        <v>1.3960634209809699</v>
      </c>
      <c r="K632">
        <v>2.1041483857302801</v>
      </c>
      <c r="L632">
        <v>964.11500716159503</v>
      </c>
      <c r="M632">
        <v>18.9509048095303</v>
      </c>
      <c r="O632">
        <v>50.318032783550898</v>
      </c>
      <c r="P632">
        <v>4.7079722749291598E-2</v>
      </c>
      <c r="Q632">
        <v>1.5</v>
      </c>
      <c r="R632">
        <v>0.482034682873549</v>
      </c>
      <c r="S632" t="s">
        <v>1958</v>
      </c>
      <c r="T632" t="s">
        <v>2650</v>
      </c>
      <c r="U632" t="s">
        <v>2650</v>
      </c>
      <c r="V632" t="s">
        <v>2650</v>
      </c>
      <c r="W632" t="s">
        <v>3282</v>
      </c>
      <c r="X632">
        <v>5</v>
      </c>
      <c r="Y632" t="s">
        <v>4597</v>
      </c>
      <c r="Z632" t="s">
        <v>5912</v>
      </c>
      <c r="AA632">
        <v>1.311083511938421</v>
      </c>
      <c r="AB632" t="str">
        <f>HYPERLINK("Melting_Curves/meltCurve_P49189_2_ALDH9A1.pdf", "Melting_Curves/meltCurve_P49189_2_ALDH9A1.pdf")</f>
        <v>Melting_Curves/meltCurve_P49189_2_ALDH9A1.pdf</v>
      </c>
    </row>
    <row r="633" spans="1:28" x14ac:dyDescent="0.25">
      <c r="A633" t="s">
        <v>637</v>
      </c>
      <c r="B633">
        <v>1</v>
      </c>
      <c r="C633">
        <v>0.77345774298472902</v>
      </c>
      <c r="D633">
        <v>1.23475660179723</v>
      </c>
      <c r="E633">
        <v>1.7161916312916901</v>
      </c>
      <c r="F633">
        <v>1.9255471635702099</v>
      </c>
      <c r="G633">
        <v>3.0120183031038099</v>
      </c>
      <c r="H633">
        <v>3.3280500578863199</v>
      </c>
      <c r="I633">
        <v>4.5210595953470403</v>
      </c>
      <c r="J633">
        <v>3.02180384806219</v>
      </c>
      <c r="K633">
        <v>4.3906775456199396</v>
      </c>
      <c r="L633">
        <v>11505.6165416372</v>
      </c>
      <c r="M633">
        <v>250</v>
      </c>
      <c r="O633">
        <v>46.019520832828299</v>
      </c>
      <c r="P633">
        <v>0.67905965413130498</v>
      </c>
      <c r="Q633">
        <v>1.5</v>
      </c>
      <c r="R633">
        <v>-0.54342889135570105</v>
      </c>
      <c r="S633" t="s">
        <v>1959</v>
      </c>
      <c r="T633" t="s">
        <v>2650</v>
      </c>
      <c r="U633" t="s">
        <v>2650</v>
      </c>
      <c r="V633" t="s">
        <v>2650</v>
      </c>
      <c r="W633" t="s">
        <v>3283</v>
      </c>
      <c r="X633">
        <v>32</v>
      </c>
      <c r="Y633" t="s">
        <v>4598</v>
      </c>
      <c r="Z633" t="s">
        <v>5913</v>
      </c>
      <c r="AA633">
        <v>1.3995851795349259</v>
      </c>
      <c r="AB633" t="str">
        <f>HYPERLINK("Melting_Curves/meltCurve_P49221_TGM4.pdf", "Melting_Curves/meltCurve_P49221_TGM4.pdf")</f>
        <v>Melting_Curves/meltCurve_P49221_TGM4.pdf</v>
      </c>
    </row>
    <row r="634" spans="1:28" x14ac:dyDescent="0.25">
      <c r="A634" t="s">
        <v>638</v>
      </c>
      <c r="B634">
        <v>1</v>
      </c>
      <c r="C634">
        <v>0.77046077436743798</v>
      </c>
      <c r="D634">
        <v>1.15511576142094</v>
      </c>
      <c r="E634">
        <v>1.38757741403068</v>
      </c>
      <c r="F634">
        <v>1.0121742553868101</v>
      </c>
      <c r="G634">
        <v>1.0105691918656601</v>
      </c>
      <c r="H634">
        <v>0.92313865628927505</v>
      </c>
      <c r="I634">
        <v>1.01255280810406</v>
      </c>
      <c r="J634">
        <v>0.69219121454853805</v>
      </c>
      <c r="K634">
        <v>0.85899668387819705</v>
      </c>
      <c r="L634">
        <v>15000</v>
      </c>
      <c r="M634">
        <v>229.988095019573</v>
      </c>
      <c r="O634">
        <v>65.215835660152393</v>
      </c>
      <c r="P634">
        <v>-0.19790060977582399</v>
      </c>
      <c r="Q634">
        <v>0.77553179663980198</v>
      </c>
      <c r="R634">
        <v>0.28254460728126801</v>
      </c>
      <c r="S634" t="s">
        <v>1960</v>
      </c>
      <c r="T634" t="s">
        <v>2650</v>
      </c>
      <c r="U634" t="s">
        <v>2650</v>
      </c>
      <c r="V634" t="s">
        <v>2650</v>
      </c>
      <c r="W634" t="s">
        <v>3284</v>
      </c>
      <c r="X634">
        <v>2</v>
      </c>
      <c r="Y634" t="s">
        <v>4599</v>
      </c>
      <c r="Z634" t="s">
        <v>5914</v>
      </c>
      <c r="AA634">
        <v>0.96427083275552117</v>
      </c>
      <c r="AB634" t="str">
        <f>HYPERLINK("Melting_Curves/meltCurve_P49223_SPINT3.pdf", "Melting_Curves/meltCurve_P49223_SPINT3.pdf")</f>
        <v>Melting_Curves/meltCurve_P49223_SPINT3.pdf</v>
      </c>
    </row>
    <row r="635" spans="1:28" x14ac:dyDescent="0.25">
      <c r="A635" t="s">
        <v>639</v>
      </c>
      <c r="B635">
        <v>1</v>
      </c>
      <c r="C635">
        <v>0.77358315984270198</v>
      </c>
      <c r="D635">
        <v>0.98570437196391403</v>
      </c>
      <c r="E635">
        <v>1.1488318297478599</v>
      </c>
      <c r="F635">
        <v>1.0281286143881601</v>
      </c>
      <c r="G635">
        <v>1.0755493869997701</v>
      </c>
      <c r="H635">
        <v>1.1028452463567</v>
      </c>
      <c r="I635">
        <v>1.3741383298635199</v>
      </c>
      <c r="J635">
        <v>0.90603747397640499</v>
      </c>
      <c r="K635">
        <v>1.2286375202405699</v>
      </c>
      <c r="L635">
        <v>865.35204058050499</v>
      </c>
      <c r="M635">
        <v>16.194811298446201</v>
      </c>
      <c r="O635">
        <v>52.639094436442299</v>
      </c>
      <c r="P635">
        <v>1.18889341457337E-2</v>
      </c>
      <c r="Q635">
        <v>1.15456207918325</v>
      </c>
      <c r="R635">
        <v>0.25831183759174098</v>
      </c>
      <c r="S635" t="s">
        <v>1961</v>
      </c>
      <c r="T635" t="s">
        <v>2650</v>
      </c>
      <c r="U635" t="s">
        <v>2650</v>
      </c>
      <c r="V635" t="s">
        <v>2650</v>
      </c>
      <c r="W635" t="s">
        <v>3285</v>
      </c>
      <c r="X635">
        <v>8</v>
      </c>
      <c r="Y635" t="s">
        <v>4600</v>
      </c>
      <c r="Z635" t="s">
        <v>5915</v>
      </c>
      <c r="AA635">
        <v>1.0824138608271281</v>
      </c>
      <c r="AB635" t="str">
        <f>HYPERLINK("Melting_Curves/meltCurve_P49327_FASN.pdf", "Melting_Curves/meltCurve_P49327_FASN.pdf")</f>
        <v>Melting_Curves/meltCurve_P49327_FASN.pdf</v>
      </c>
    </row>
    <row r="636" spans="1:28" x14ac:dyDescent="0.25">
      <c r="A636" t="s">
        <v>640</v>
      </c>
      <c r="B636">
        <v>1</v>
      </c>
      <c r="C636">
        <v>0.92189294739260297</v>
      </c>
      <c r="D636">
        <v>1.19327666743242</v>
      </c>
      <c r="E636">
        <v>1.4299716670495399</v>
      </c>
      <c r="F636">
        <v>1.1667049544375501</v>
      </c>
      <c r="G636">
        <v>1.2566812160195999</v>
      </c>
      <c r="H636">
        <v>1.2628838349031299</v>
      </c>
      <c r="I636">
        <v>2.04923807335937</v>
      </c>
      <c r="J636">
        <v>1.5634428363580699</v>
      </c>
      <c r="K636">
        <v>2.4954437552645699</v>
      </c>
      <c r="L636">
        <v>792.61440518761401</v>
      </c>
      <c r="M636">
        <v>16.052772763381299</v>
      </c>
      <c r="O636">
        <v>48.628374289720803</v>
      </c>
      <c r="P636">
        <v>4.1267101603836502E-2</v>
      </c>
      <c r="Q636">
        <v>1.5</v>
      </c>
      <c r="R636">
        <v>0.31101967917116402</v>
      </c>
      <c r="S636" t="s">
        <v>1962</v>
      </c>
      <c r="T636" t="s">
        <v>2650</v>
      </c>
      <c r="U636" t="s">
        <v>2650</v>
      </c>
      <c r="V636" t="s">
        <v>2650</v>
      </c>
      <c r="W636" t="s">
        <v>3286</v>
      </c>
      <c r="X636">
        <v>1</v>
      </c>
      <c r="Y636" t="s">
        <v>4601</v>
      </c>
      <c r="Z636" t="s">
        <v>5916</v>
      </c>
      <c r="AA636">
        <v>1.3330140498951639</v>
      </c>
      <c r="AB636" t="str">
        <f>HYPERLINK("Melting_Curves/meltCurve_P49354_2_FNTA.pdf", "Melting_Curves/meltCurve_P49354_2_FNTA.pdf")</f>
        <v>Melting_Curves/meltCurve_P49354_2_FNTA.pdf</v>
      </c>
    </row>
    <row r="637" spans="1:28" x14ac:dyDescent="0.25">
      <c r="A637" t="s">
        <v>641</v>
      </c>
      <c r="B637">
        <v>1</v>
      </c>
      <c r="C637">
        <v>0.79881571047019595</v>
      </c>
      <c r="D637">
        <v>1.014472349324</v>
      </c>
      <c r="E637">
        <v>1.2829044079587599</v>
      </c>
      <c r="F637">
        <v>1.0756330358806601</v>
      </c>
      <c r="G637">
        <v>1.0740387999751499</v>
      </c>
      <c r="H637">
        <v>1.0333961365659701</v>
      </c>
      <c r="I637">
        <v>1.28826683782273</v>
      </c>
      <c r="J637">
        <v>0.77887740947017503</v>
      </c>
      <c r="K637">
        <v>1.1026315244622</v>
      </c>
      <c r="L637">
        <v>11576.501309733299</v>
      </c>
      <c r="M637">
        <v>250</v>
      </c>
      <c r="O637">
        <v>46.303059169459402</v>
      </c>
      <c r="P637">
        <v>0.122590709742822</v>
      </c>
      <c r="Q637">
        <v>1.09082116452682</v>
      </c>
      <c r="R637">
        <v>0.14794645796306</v>
      </c>
      <c r="S637" t="s">
        <v>1963</v>
      </c>
      <c r="T637" t="s">
        <v>2650</v>
      </c>
      <c r="U637" t="s">
        <v>2650</v>
      </c>
      <c r="V637" t="s">
        <v>2650</v>
      </c>
      <c r="W637" t="s">
        <v>3287</v>
      </c>
      <c r="X637">
        <v>3</v>
      </c>
      <c r="Y637" t="s">
        <v>4602</v>
      </c>
      <c r="Z637" t="s">
        <v>5917</v>
      </c>
      <c r="AA637">
        <v>1.071723159181398</v>
      </c>
      <c r="AB637" t="str">
        <f>HYPERLINK("Melting_Curves/meltCurve_P49368_2_CCT3.pdf", "Melting_Curves/meltCurve_P49368_2_CCT3.pdf")</f>
        <v>Melting_Curves/meltCurve_P49368_2_CCT3.pdf</v>
      </c>
    </row>
    <row r="638" spans="1:28" x14ac:dyDescent="0.25">
      <c r="A638" t="s">
        <v>642</v>
      </c>
      <c r="B638">
        <v>1</v>
      </c>
      <c r="C638">
        <v>0.74674354046551406</v>
      </c>
      <c r="D638">
        <v>1.12332550359456</v>
      </c>
      <c r="E638">
        <v>1.3278525161933199</v>
      </c>
      <c r="F638">
        <v>1.24488575699338</v>
      </c>
      <c r="G638">
        <v>1.66446010392199</v>
      </c>
      <c r="H638">
        <v>1.99772225781194</v>
      </c>
      <c r="I638">
        <v>2.7822620827105098</v>
      </c>
      <c r="J638">
        <v>1.9578617695209599</v>
      </c>
      <c r="K638">
        <v>2.7045341305431001</v>
      </c>
      <c r="L638">
        <v>1444.1412148084601</v>
      </c>
      <c r="M638">
        <v>29.190028793663199</v>
      </c>
      <c r="O638">
        <v>49.243330543125403</v>
      </c>
      <c r="P638">
        <v>7.4096939746466403E-2</v>
      </c>
      <c r="Q638">
        <v>1.5</v>
      </c>
      <c r="R638">
        <v>0.15822359860130999</v>
      </c>
      <c r="S638" t="s">
        <v>1964</v>
      </c>
      <c r="T638" t="s">
        <v>2650</v>
      </c>
      <c r="U638" t="s">
        <v>2650</v>
      </c>
      <c r="V638" t="s">
        <v>2650</v>
      </c>
      <c r="W638" t="s">
        <v>3288</v>
      </c>
      <c r="X638">
        <v>6</v>
      </c>
      <c r="Y638" t="s">
        <v>4603</v>
      </c>
      <c r="Z638" t="s">
        <v>5918</v>
      </c>
      <c r="AA638">
        <v>1.3388608840778069</v>
      </c>
      <c r="AB638" t="str">
        <f>HYPERLINK("Melting_Curves/meltCurve_P49419_2_ALDH7A1.pdf", "Melting_Curves/meltCurve_P49419_2_ALDH7A1.pdf")</f>
        <v>Melting_Curves/meltCurve_P49419_2_ALDH7A1.pdf</v>
      </c>
    </row>
    <row r="639" spans="1:28" x14ac:dyDescent="0.25">
      <c r="A639" t="s">
        <v>643</v>
      </c>
      <c r="B639">
        <v>1</v>
      </c>
      <c r="C639">
        <v>0.84762119213819298</v>
      </c>
      <c r="D639">
        <v>1.11191173159198</v>
      </c>
      <c r="E639">
        <v>1.2941100781677199</v>
      </c>
      <c r="F639">
        <v>1.10541383858204</v>
      </c>
      <c r="G639">
        <v>1.3111590053720199</v>
      </c>
      <c r="H639">
        <v>1.35809180686461</v>
      </c>
      <c r="I639">
        <v>1.93302666709557</v>
      </c>
      <c r="J639">
        <v>1.68260044391546</v>
      </c>
      <c r="K639">
        <v>2.0066265641586498</v>
      </c>
      <c r="L639">
        <v>1062.65193182506</v>
      </c>
      <c r="M639">
        <v>19.990129156990999</v>
      </c>
      <c r="O639">
        <v>52.635430922890997</v>
      </c>
      <c r="P639">
        <v>4.74746319865657E-2</v>
      </c>
      <c r="Q639">
        <v>1.5</v>
      </c>
      <c r="R639">
        <v>0.56162252232458598</v>
      </c>
      <c r="S639" t="s">
        <v>1965</v>
      </c>
      <c r="T639" t="s">
        <v>2650</v>
      </c>
      <c r="U639" t="s">
        <v>2650</v>
      </c>
      <c r="V639" t="s">
        <v>2650</v>
      </c>
      <c r="W639" t="s">
        <v>3289</v>
      </c>
      <c r="X639">
        <v>1</v>
      </c>
      <c r="Y639" t="s">
        <v>4604</v>
      </c>
      <c r="Z639" t="s">
        <v>5919</v>
      </c>
      <c r="AA639">
        <v>1.27381332346797</v>
      </c>
      <c r="AB639" t="str">
        <f>HYPERLINK("Melting_Curves/meltCurve_P49591_SARS.pdf", "Melting_Curves/meltCurve_P49591_SARS.pdf")</f>
        <v>Melting_Curves/meltCurve_P49591_SARS.pdf</v>
      </c>
    </row>
    <row r="640" spans="1:28" x14ac:dyDescent="0.25">
      <c r="A640" t="s">
        <v>644</v>
      </c>
      <c r="B640">
        <v>1</v>
      </c>
      <c r="C640">
        <v>0.71032960100930498</v>
      </c>
      <c r="D640">
        <v>0.97568206907427801</v>
      </c>
      <c r="E640">
        <v>1.1254218577511399</v>
      </c>
      <c r="F640">
        <v>0.797192871786784</v>
      </c>
      <c r="G640">
        <v>0.79787099826525798</v>
      </c>
      <c r="H640">
        <v>0.71288440309099499</v>
      </c>
      <c r="I640">
        <v>0.80657624980287002</v>
      </c>
      <c r="J640">
        <v>0.48435577984544997</v>
      </c>
      <c r="K640">
        <v>0.66346002207853605</v>
      </c>
      <c r="L640">
        <v>328.47770787559801</v>
      </c>
      <c r="M640">
        <v>4.31023523698825</v>
      </c>
      <c r="O640">
        <v>63.993572344597197</v>
      </c>
      <c r="P640">
        <v>-1.7008369672483301E-2</v>
      </c>
      <c r="Q640">
        <v>0</v>
      </c>
      <c r="R640">
        <v>0.47073666402818498</v>
      </c>
      <c r="S640" t="s">
        <v>1966</v>
      </c>
      <c r="T640" t="s">
        <v>2650</v>
      </c>
      <c r="U640" t="s">
        <v>2650</v>
      </c>
      <c r="V640" t="s">
        <v>2650</v>
      </c>
      <c r="W640" t="s">
        <v>3290</v>
      </c>
      <c r="X640">
        <v>1</v>
      </c>
      <c r="Y640" t="s">
        <v>4605</v>
      </c>
      <c r="Z640" t="s">
        <v>5920</v>
      </c>
      <c r="AA640">
        <v>0.8217155741407558</v>
      </c>
      <c r="AB640" t="str">
        <f>HYPERLINK("Melting_Curves/meltCurve_P49755_TMED10.pdf", "Melting_Curves/meltCurve_P49755_TMED10.pdf")</f>
        <v>Melting_Curves/meltCurve_P49755_TMED10.pdf</v>
      </c>
    </row>
    <row r="641" spans="1:28" x14ac:dyDescent="0.25">
      <c r="A641" t="s">
        <v>645</v>
      </c>
      <c r="B641">
        <v>1</v>
      </c>
      <c r="C641">
        <v>0.99278830042492705</v>
      </c>
      <c r="D641">
        <v>1.42906931542473</v>
      </c>
      <c r="E641">
        <v>1.4912668730982199</v>
      </c>
      <c r="F641">
        <v>1.2485891610032001</v>
      </c>
      <c r="G641">
        <v>1.4322864304767999</v>
      </c>
      <c r="H641">
        <v>1.2888835270304699</v>
      </c>
      <c r="I641">
        <v>1.52705727805257</v>
      </c>
      <c r="J641">
        <v>1.24596185037734</v>
      </c>
      <c r="K641">
        <v>1.5603008002573699</v>
      </c>
      <c r="L641">
        <v>11072.330358670701</v>
      </c>
      <c r="M641">
        <v>250</v>
      </c>
      <c r="O641">
        <v>44.286487233749298</v>
      </c>
      <c r="P641">
        <v>0.56864242779740204</v>
      </c>
      <c r="Q641">
        <v>1.4029308092361801</v>
      </c>
      <c r="R641">
        <v>0.70423317121411</v>
      </c>
      <c r="S641" t="s">
        <v>1967</v>
      </c>
      <c r="T641" t="s">
        <v>2650</v>
      </c>
      <c r="U641" t="s">
        <v>2650</v>
      </c>
      <c r="V641" t="s">
        <v>2650</v>
      </c>
      <c r="W641" t="s">
        <v>3291</v>
      </c>
      <c r="X641">
        <v>1</v>
      </c>
      <c r="Y641" t="s">
        <v>4606</v>
      </c>
      <c r="Z641" t="s">
        <v>5921</v>
      </c>
      <c r="AA641">
        <v>1.345289498713337</v>
      </c>
      <c r="AB641" t="str">
        <f>HYPERLINK("Melting_Curves/meltCurve_P49765_2_VEGFB.pdf", "Melting_Curves/meltCurve_P49765_2_VEGFB.pdf")</f>
        <v>Melting_Curves/meltCurve_P49765_2_VEGFB.pdf</v>
      </c>
    </row>
    <row r="642" spans="1:28" x14ac:dyDescent="0.25">
      <c r="A642" t="s">
        <v>646</v>
      </c>
      <c r="B642">
        <v>1</v>
      </c>
      <c r="C642">
        <v>0.74464984594887196</v>
      </c>
      <c r="D642">
        <v>0.989799317178783</v>
      </c>
      <c r="E642">
        <v>1.1396452660504599</v>
      </c>
      <c r="F642">
        <v>0.90856857356982301</v>
      </c>
      <c r="G642">
        <v>1.0704471646265299</v>
      </c>
      <c r="H642">
        <v>0.86926471812807105</v>
      </c>
      <c r="I642">
        <v>1.10775251894413</v>
      </c>
      <c r="J642">
        <v>0.74144391706220303</v>
      </c>
      <c r="K642">
        <v>0.807436089599467</v>
      </c>
      <c r="L642">
        <v>15000</v>
      </c>
      <c r="M642">
        <v>228.546916571617</v>
      </c>
      <c r="O642">
        <v>65.626989456410996</v>
      </c>
      <c r="P642">
        <v>-0.19701904623626401</v>
      </c>
      <c r="Q642">
        <v>0.77370473079088198</v>
      </c>
      <c r="R642">
        <v>0.32729200984171303</v>
      </c>
      <c r="S642" t="s">
        <v>1968</v>
      </c>
      <c r="T642" t="s">
        <v>2650</v>
      </c>
      <c r="U642" t="s">
        <v>2650</v>
      </c>
      <c r="V642" t="s">
        <v>2650</v>
      </c>
      <c r="W642" t="s">
        <v>3292</v>
      </c>
      <c r="X642">
        <v>3</v>
      </c>
      <c r="Y642" t="s">
        <v>4607</v>
      </c>
      <c r="Z642" t="s">
        <v>5922</v>
      </c>
      <c r="AA642">
        <v>0.96708288653109864</v>
      </c>
      <c r="AB642" t="str">
        <f>HYPERLINK("Melting_Curves/meltCurve_P49773_HINT1.pdf", "Melting_Curves/meltCurve_P49773_HINT1.pdf")</f>
        <v>Melting_Curves/meltCurve_P49773_HINT1.pdf</v>
      </c>
    </row>
    <row r="643" spans="1:28" x14ac:dyDescent="0.25">
      <c r="A643" t="s">
        <v>647</v>
      </c>
      <c r="B643">
        <v>1</v>
      </c>
      <c r="C643">
        <v>0.81987905829859697</v>
      </c>
      <c r="D643">
        <v>1.23607115599131</v>
      </c>
      <c r="E643">
        <v>1.5245699524452501</v>
      </c>
      <c r="F643">
        <v>1.3344683848998999</v>
      </c>
      <c r="G643">
        <v>1.4958022661891599</v>
      </c>
      <c r="H643">
        <v>1.25585627898785</v>
      </c>
      <c r="I643">
        <v>1.5808137145540999</v>
      </c>
      <c r="J643">
        <v>1.0007632243292399</v>
      </c>
      <c r="K643">
        <v>1.3239006634180699</v>
      </c>
      <c r="L643">
        <v>11470.1531317795</v>
      </c>
      <c r="M643">
        <v>250</v>
      </c>
      <c r="O643">
        <v>45.8776676262584</v>
      </c>
      <c r="P643">
        <v>0.48969009418294501</v>
      </c>
      <c r="Q643">
        <v>1.3594534991892699</v>
      </c>
      <c r="R643">
        <v>0.526462031651595</v>
      </c>
      <c r="S643" t="s">
        <v>1969</v>
      </c>
      <c r="T643" t="s">
        <v>2650</v>
      </c>
      <c r="U643" t="s">
        <v>2650</v>
      </c>
      <c r="V643" t="s">
        <v>2650</v>
      </c>
      <c r="W643" t="s">
        <v>3293</v>
      </c>
      <c r="X643">
        <v>3</v>
      </c>
      <c r="Y643" t="s">
        <v>4608</v>
      </c>
      <c r="Z643" t="s">
        <v>5923</v>
      </c>
      <c r="AA643">
        <v>1.2889643310711569</v>
      </c>
      <c r="AB643" t="str">
        <f>HYPERLINK("Melting_Curves/meltCurve_P49788_2_RARRES1.pdf", "Melting_Curves/meltCurve_P49788_2_RARRES1.pdf")</f>
        <v>Melting_Curves/meltCurve_P49788_2_RARRES1.pdf</v>
      </c>
    </row>
    <row r="644" spans="1:28" x14ac:dyDescent="0.25">
      <c r="A644" t="s">
        <v>648</v>
      </c>
      <c r="B644">
        <v>1</v>
      </c>
      <c r="C644">
        <v>0.71781877153861795</v>
      </c>
      <c r="D644">
        <v>1.16293330630448</v>
      </c>
      <c r="E644">
        <v>1.32723494830732</v>
      </c>
      <c r="F644">
        <v>0.95443948915467303</v>
      </c>
      <c r="G644">
        <v>1.0369450638556701</v>
      </c>
      <c r="H644">
        <v>0.940147982971822</v>
      </c>
      <c r="I644">
        <v>1.0956314615852401</v>
      </c>
      <c r="J644">
        <v>0.66014595580782498</v>
      </c>
      <c r="K644">
        <v>0.95661869045205805</v>
      </c>
      <c r="L644">
        <v>7456.70200866922</v>
      </c>
      <c r="M644">
        <v>114.14775342072799</v>
      </c>
      <c r="O644">
        <v>65.304954510037504</v>
      </c>
      <c r="P644">
        <v>-8.23840825877485E-2</v>
      </c>
      <c r="Q644">
        <v>0.81146930789905602</v>
      </c>
      <c r="R644">
        <v>0.18767882239726599</v>
      </c>
      <c r="S644" t="s">
        <v>1970</v>
      </c>
      <c r="T644" t="s">
        <v>2650</v>
      </c>
      <c r="U644" t="s">
        <v>2650</v>
      </c>
      <c r="V644" t="s">
        <v>2650</v>
      </c>
      <c r="W644" t="s">
        <v>3294</v>
      </c>
      <c r="X644">
        <v>4</v>
      </c>
      <c r="Y644" t="s">
        <v>4609</v>
      </c>
      <c r="Z644" t="s">
        <v>5924</v>
      </c>
      <c r="AA644">
        <v>0.9707223410959126</v>
      </c>
      <c r="AB644" t="str">
        <f>HYPERLINK("Melting_Curves/meltCurve_P49908_SELENOP.pdf", "Melting_Curves/meltCurve_P49908_SELENOP.pdf")</f>
        <v>Melting_Curves/meltCurve_P49908_SELENOP.pdf</v>
      </c>
    </row>
    <row r="645" spans="1:28" x14ac:dyDescent="0.25">
      <c r="A645" t="s">
        <v>649</v>
      </c>
      <c r="B645">
        <v>1</v>
      </c>
      <c r="C645">
        <v>0.66432862604353604</v>
      </c>
      <c r="D645">
        <v>1.0171647031286599</v>
      </c>
      <c r="E645">
        <v>1.0747444799875201</v>
      </c>
      <c r="F645">
        <v>0.72935164235000405</v>
      </c>
      <c r="G645">
        <v>0.86915814933291702</v>
      </c>
      <c r="H645">
        <v>0.82523211359912596</v>
      </c>
      <c r="I645">
        <v>0.76800343294062601</v>
      </c>
      <c r="J645">
        <v>0.52817351954435499</v>
      </c>
      <c r="K645">
        <v>0.71699305609737096</v>
      </c>
      <c r="L645">
        <v>253.88466203352499</v>
      </c>
      <c r="M645">
        <v>2.9731298821815302</v>
      </c>
      <c r="O645">
        <v>62.624999577752497</v>
      </c>
      <c r="P645">
        <v>-1.2245013018240899E-2</v>
      </c>
      <c r="Q645">
        <v>0</v>
      </c>
      <c r="R645">
        <v>0.331356481599269</v>
      </c>
      <c r="S645" t="s">
        <v>1971</v>
      </c>
      <c r="T645" t="s">
        <v>2650</v>
      </c>
      <c r="U645" t="s">
        <v>2650</v>
      </c>
      <c r="V645" t="s">
        <v>2650</v>
      </c>
      <c r="W645" t="s">
        <v>3295</v>
      </c>
      <c r="X645">
        <v>3</v>
      </c>
      <c r="Y645" t="s">
        <v>4610</v>
      </c>
      <c r="Z645" t="s">
        <v>5925</v>
      </c>
      <c r="AA645">
        <v>0.8293216250225921</v>
      </c>
      <c r="AB645" t="str">
        <f>HYPERLINK("Melting_Curves/meltCurve_P50281_MMP14.pdf", "Melting_Curves/meltCurve_P50281_MMP14.pdf")</f>
        <v>Melting_Curves/meltCurve_P50281_MMP14.pdf</v>
      </c>
    </row>
    <row r="646" spans="1:28" x14ac:dyDescent="0.25">
      <c r="A646" t="s">
        <v>650</v>
      </c>
      <c r="B646">
        <v>1</v>
      </c>
      <c r="C646">
        <v>0.84497740702120305</v>
      </c>
      <c r="D646">
        <v>1.23159044639754</v>
      </c>
      <c r="E646">
        <v>1.5112468345002199</v>
      </c>
      <c r="F646">
        <v>1.81553205223695</v>
      </c>
      <c r="G646">
        <v>3.2774715725706298</v>
      </c>
      <c r="H646">
        <v>3.6471026366751098</v>
      </c>
      <c r="I646">
        <v>4.63384477878743</v>
      </c>
      <c r="J646">
        <v>3.3083569194100999</v>
      </c>
      <c r="K646">
        <v>4.2787625999304799</v>
      </c>
      <c r="L646">
        <v>11506.787004203399</v>
      </c>
      <c r="M646">
        <v>250</v>
      </c>
      <c r="O646">
        <v>46.0242023528983</v>
      </c>
      <c r="P646">
        <v>0.67899058064399398</v>
      </c>
      <c r="Q646">
        <v>1.5</v>
      </c>
      <c r="R646">
        <v>-0.56819616502659098</v>
      </c>
      <c r="S646" t="s">
        <v>1972</v>
      </c>
      <c r="T646" t="s">
        <v>2650</v>
      </c>
      <c r="U646" t="s">
        <v>2650</v>
      </c>
      <c r="V646" t="s">
        <v>2650</v>
      </c>
      <c r="W646" t="s">
        <v>3296</v>
      </c>
      <c r="X646">
        <v>16</v>
      </c>
      <c r="Y646" t="s">
        <v>4611</v>
      </c>
      <c r="Z646" t="s">
        <v>5926</v>
      </c>
      <c r="AA646">
        <v>1.399507144588892</v>
      </c>
      <c r="AB646" t="str">
        <f>HYPERLINK("Melting_Curves/meltCurve_P50395_GDI2.pdf", "Melting_Curves/meltCurve_P50395_GDI2.pdf")</f>
        <v>Melting_Curves/meltCurve_P50395_GDI2.pdf</v>
      </c>
    </row>
    <row r="647" spans="1:28" x14ac:dyDescent="0.25">
      <c r="A647" t="s">
        <v>651</v>
      </c>
      <c r="B647">
        <v>1</v>
      </c>
      <c r="C647">
        <v>0.73478283982776005</v>
      </c>
      <c r="D647">
        <v>1.0862793046621699</v>
      </c>
      <c r="E647">
        <v>1.2310350326936399</v>
      </c>
      <c r="F647">
        <v>0.95922598479612997</v>
      </c>
      <c r="G647">
        <v>1.1309340279623601</v>
      </c>
      <c r="H647">
        <v>1.1610759661900001</v>
      </c>
      <c r="I647">
        <v>1.46887459465207</v>
      </c>
      <c r="J647">
        <v>0.95247461591621896</v>
      </c>
      <c r="K647">
        <v>1.33889745361756</v>
      </c>
      <c r="L647">
        <v>665.57843677847404</v>
      </c>
      <c r="M647">
        <v>11.8900701907094</v>
      </c>
      <c r="O647">
        <v>54.464702353605603</v>
      </c>
      <c r="P647">
        <v>1.4567000560372301E-2</v>
      </c>
      <c r="Q647">
        <v>1.2668408805365601</v>
      </c>
      <c r="R647">
        <v>0.29848050968770601</v>
      </c>
      <c r="S647" t="s">
        <v>1973</v>
      </c>
      <c r="T647" t="s">
        <v>2650</v>
      </c>
      <c r="U647" t="s">
        <v>2650</v>
      </c>
      <c r="V647" t="s">
        <v>2650</v>
      </c>
      <c r="W647" t="s">
        <v>3297</v>
      </c>
      <c r="X647">
        <v>5</v>
      </c>
      <c r="Y647" t="s">
        <v>4612</v>
      </c>
      <c r="Z647" t="s">
        <v>5927</v>
      </c>
      <c r="AA647">
        <v>1.1192458495996629</v>
      </c>
      <c r="AB647" t="str">
        <f>HYPERLINK("Melting_Curves/meltCurve_P50502_ST13.pdf", "Melting_Curves/meltCurve_P50502_ST13.pdf")</f>
        <v>Melting_Curves/meltCurve_P50502_ST13.pdf</v>
      </c>
    </row>
    <row r="648" spans="1:28" x14ac:dyDescent="0.25">
      <c r="A648" t="s">
        <v>652</v>
      </c>
      <c r="B648">
        <v>1</v>
      </c>
      <c r="C648">
        <v>1.0347225212037701</v>
      </c>
      <c r="D648">
        <v>1.14769449347742</v>
      </c>
      <c r="E648">
        <v>1.3303698282171601</v>
      </c>
      <c r="F648">
        <v>1.1962586644852999</v>
      </c>
      <c r="G648">
        <v>1.26854522753692</v>
      </c>
      <c r="H648">
        <v>1.0706505360141201</v>
      </c>
      <c r="I648">
        <v>1.3275713609161801</v>
      </c>
      <c r="J648">
        <v>0.94786240151547796</v>
      </c>
      <c r="K648">
        <v>1.25489731777673</v>
      </c>
      <c r="L648">
        <v>2086.4498625773499</v>
      </c>
      <c r="M648">
        <v>46.759264475325502</v>
      </c>
      <c r="O648">
        <v>44.539706164980501</v>
      </c>
      <c r="P648">
        <v>5.2064165572318501E-2</v>
      </c>
      <c r="Q648">
        <v>1.1983710059052699</v>
      </c>
      <c r="R648">
        <v>0.29805968780936598</v>
      </c>
      <c r="S648" t="s">
        <v>1974</v>
      </c>
      <c r="T648" t="s">
        <v>2650</v>
      </c>
      <c r="U648" t="s">
        <v>2650</v>
      </c>
      <c r="V648" t="s">
        <v>2650</v>
      </c>
      <c r="W648" t="s">
        <v>3298</v>
      </c>
      <c r="X648">
        <v>1</v>
      </c>
      <c r="Y648" t="s">
        <v>4613</v>
      </c>
      <c r="Z648" t="s">
        <v>5928</v>
      </c>
      <c r="AA648">
        <v>1.1673458112919231</v>
      </c>
      <c r="AB648" t="str">
        <f>HYPERLINK("Melting_Curves/meltCurve_P50552_VASP.pdf", "Melting_Curves/meltCurve_P50552_VASP.pdf")</f>
        <v>Melting_Curves/meltCurve_P50552_VASP.pdf</v>
      </c>
    </row>
    <row r="649" spans="1:28" x14ac:dyDescent="0.25">
      <c r="A649" t="s">
        <v>653</v>
      </c>
      <c r="B649">
        <v>1</v>
      </c>
      <c r="C649">
        <v>0.93872478177929397</v>
      </c>
      <c r="D649">
        <v>1.5561015087577299</v>
      </c>
      <c r="E649">
        <v>2.1224926296317701</v>
      </c>
      <c r="F649">
        <v>2.4374241285623399</v>
      </c>
      <c r="G649">
        <v>1.5860454361523799</v>
      </c>
      <c r="H649">
        <v>1.63575929244465</v>
      </c>
      <c r="I649">
        <v>2.1633620440487902</v>
      </c>
      <c r="J649">
        <v>1.6069136944332001</v>
      </c>
      <c r="K649">
        <v>1.9601711081565401</v>
      </c>
      <c r="L649">
        <v>220.86213810814601</v>
      </c>
      <c r="M649">
        <v>19.9823221185748</v>
      </c>
      <c r="Q649">
        <v>1.5</v>
      </c>
      <c r="R649">
        <v>-0.189937877462208</v>
      </c>
      <c r="S649" t="s">
        <v>1975</v>
      </c>
      <c r="T649" t="s">
        <v>2650</v>
      </c>
      <c r="U649" t="s">
        <v>2650</v>
      </c>
      <c r="V649" t="s">
        <v>2650</v>
      </c>
      <c r="W649" t="s">
        <v>3299</v>
      </c>
      <c r="X649">
        <v>1</v>
      </c>
      <c r="Y649" t="s">
        <v>4614</v>
      </c>
      <c r="Z649" t="s">
        <v>5929</v>
      </c>
      <c r="AA649">
        <v>1.499999918471792</v>
      </c>
      <c r="AB649" t="str">
        <f>HYPERLINK("Melting_Curves/meltCurve_P50570_5_DNM2.pdf", "Melting_Curves/meltCurve_P50570_5_DNM2.pdf")</f>
        <v>Melting_Curves/meltCurve_P50570_5_DNM2.pdf</v>
      </c>
    </row>
    <row r="650" spans="1:28" x14ac:dyDescent="0.25">
      <c r="A650" t="s">
        <v>654</v>
      </c>
      <c r="B650">
        <v>1</v>
      </c>
      <c r="C650">
        <v>0.67523158168123998</v>
      </c>
      <c r="D650">
        <v>1.0458834732923601</v>
      </c>
      <c r="E650">
        <v>1.2572071682105399</v>
      </c>
      <c r="F650">
        <v>0.77053068998355101</v>
      </c>
      <c r="G650">
        <v>0.75602978097134399</v>
      </c>
      <c r="H650">
        <v>0.69231235390875201</v>
      </c>
      <c r="I650">
        <v>0.889100510778288</v>
      </c>
      <c r="J650">
        <v>0.57495454938966295</v>
      </c>
      <c r="K650">
        <v>0.82277724872305402</v>
      </c>
      <c r="L650">
        <v>13129.2474368577</v>
      </c>
      <c r="M650">
        <v>250</v>
      </c>
      <c r="O650">
        <v>52.513640610251798</v>
      </c>
      <c r="P650">
        <v>-0.30107296476666001</v>
      </c>
      <c r="Q650">
        <v>0.74703305648433205</v>
      </c>
      <c r="R650">
        <v>0.38064740098540201</v>
      </c>
      <c r="S650" t="s">
        <v>1976</v>
      </c>
      <c r="T650" t="s">
        <v>2650</v>
      </c>
      <c r="U650" t="s">
        <v>2650</v>
      </c>
      <c r="V650" t="s">
        <v>2650</v>
      </c>
      <c r="W650" t="s">
        <v>3300</v>
      </c>
      <c r="X650">
        <v>1</v>
      </c>
      <c r="Y650" t="s">
        <v>4615</v>
      </c>
      <c r="Z650" t="s">
        <v>5930</v>
      </c>
      <c r="AA650">
        <v>0.85260252617619681</v>
      </c>
      <c r="AB650" t="str">
        <f>HYPERLINK("Melting_Curves/meltCurve_P50591_TNFSF10.pdf", "Melting_Curves/meltCurve_P50591_TNFSF10.pdf")</f>
        <v>Melting_Curves/meltCurve_P50591_TNFSF10.pdf</v>
      </c>
    </row>
    <row r="651" spans="1:28" x14ac:dyDescent="0.25">
      <c r="A651" t="s">
        <v>655</v>
      </c>
      <c r="B651">
        <v>1</v>
      </c>
      <c r="C651">
        <v>0.74949225691799903</v>
      </c>
      <c r="D651">
        <v>1.19503681137345</v>
      </c>
      <c r="E651">
        <v>1.42536176694593</v>
      </c>
      <c r="F651">
        <v>1.00729880680376</v>
      </c>
      <c r="G651">
        <v>1.05724803249556</v>
      </c>
      <c r="H651">
        <v>1.00590251332826</v>
      </c>
      <c r="I651">
        <v>1.21591774562072</v>
      </c>
      <c r="J651">
        <v>0.68094694084793095</v>
      </c>
      <c r="K651">
        <v>1.0283701447067799</v>
      </c>
      <c r="L651">
        <v>1522.42243756788</v>
      </c>
      <c r="M651">
        <v>22.654283071620799</v>
      </c>
      <c r="O651">
        <v>66.685340002471406</v>
      </c>
      <c r="P651">
        <v>-8.3065805765350394E-3</v>
      </c>
      <c r="Q651">
        <v>0.90219665940049398</v>
      </c>
      <c r="R651">
        <v>-1.3129872255093201E-2</v>
      </c>
      <c r="S651" t="s">
        <v>1977</v>
      </c>
      <c r="T651" t="s">
        <v>2650</v>
      </c>
      <c r="U651" t="s">
        <v>2650</v>
      </c>
      <c r="V651" t="s">
        <v>2650</v>
      </c>
      <c r="W651" t="s">
        <v>3301</v>
      </c>
      <c r="X651">
        <v>9</v>
      </c>
      <c r="Y651" t="s">
        <v>4616</v>
      </c>
      <c r="Z651" t="s">
        <v>5931</v>
      </c>
      <c r="AA651">
        <v>0.98834022618149053</v>
      </c>
      <c r="AB651" t="str">
        <f>HYPERLINK("Melting_Curves/meltCurve_P50895_BCAM.pdf", "Melting_Curves/meltCurve_P50895_BCAM.pdf")</f>
        <v>Melting_Curves/meltCurve_P50895_BCAM.pdf</v>
      </c>
    </row>
    <row r="652" spans="1:28" x14ac:dyDescent="0.25">
      <c r="A652" t="s">
        <v>656</v>
      </c>
      <c r="B652">
        <v>1</v>
      </c>
      <c r="C652">
        <v>0.73632820684742095</v>
      </c>
      <c r="D652">
        <v>0.96739722583078402</v>
      </c>
      <c r="E652">
        <v>1.7168419729288</v>
      </c>
      <c r="F652">
        <v>1.24967522943469</v>
      </c>
      <c r="G652">
        <v>1.4923940828898301</v>
      </c>
      <c r="H652">
        <v>1.73997401835478</v>
      </c>
      <c r="I652">
        <v>2.4771822486694899</v>
      </c>
      <c r="J652">
        <v>1.7140342790093399</v>
      </c>
      <c r="K652">
        <v>2.4821690483174801</v>
      </c>
      <c r="L652">
        <v>11935.793112575901</v>
      </c>
      <c r="M652">
        <v>250</v>
      </c>
      <c r="O652">
        <v>47.740117553516001</v>
      </c>
      <c r="P652">
        <v>0.65458574186376595</v>
      </c>
      <c r="Q652">
        <v>1.5</v>
      </c>
      <c r="R652">
        <v>0.31498063481322203</v>
      </c>
      <c r="S652" t="s">
        <v>1978</v>
      </c>
      <c r="T652" t="s">
        <v>2650</v>
      </c>
      <c r="U652" t="s">
        <v>2650</v>
      </c>
      <c r="V652" t="s">
        <v>2650</v>
      </c>
      <c r="W652" t="s">
        <v>3302</v>
      </c>
      <c r="X652">
        <v>2</v>
      </c>
      <c r="Y652" t="s">
        <v>4617</v>
      </c>
      <c r="Z652" t="s">
        <v>5932</v>
      </c>
      <c r="AA652">
        <v>1.37090523156598</v>
      </c>
      <c r="AB652" t="str">
        <f>HYPERLINK("Melting_Curves/meltCurve_P50897_PPT1.pdf", "Melting_Curves/meltCurve_P50897_PPT1.pdf")</f>
        <v>Melting_Curves/meltCurve_P50897_PPT1.pdf</v>
      </c>
    </row>
    <row r="653" spans="1:28" x14ac:dyDescent="0.25">
      <c r="A653" t="s">
        <v>657</v>
      </c>
      <c r="B653">
        <v>1</v>
      </c>
      <c r="C653">
        <v>0.83183904365460604</v>
      </c>
      <c r="D653">
        <v>1.2116020920055499</v>
      </c>
      <c r="E653">
        <v>1.66114313160423</v>
      </c>
      <c r="F653">
        <v>1.3157220621197601</v>
      </c>
      <c r="G653">
        <v>1.4393211655459499</v>
      </c>
      <c r="H653">
        <v>1.57882378055289</v>
      </c>
      <c r="I653">
        <v>2.18046216245064</v>
      </c>
      <c r="J653">
        <v>1.4831892411143099</v>
      </c>
      <c r="K653">
        <v>2.1270679901803802</v>
      </c>
      <c r="L653">
        <v>11514.2431462123</v>
      </c>
      <c r="M653">
        <v>250</v>
      </c>
      <c r="O653">
        <v>46.0540251517128</v>
      </c>
      <c r="P653">
        <v>0.67855089475887398</v>
      </c>
      <c r="Q653">
        <v>1.5</v>
      </c>
      <c r="R653">
        <v>0.43945878463942301</v>
      </c>
      <c r="S653" t="s">
        <v>1979</v>
      </c>
      <c r="T653" t="s">
        <v>2650</v>
      </c>
      <c r="U653" t="s">
        <v>2650</v>
      </c>
      <c r="V653" t="s">
        <v>2650</v>
      </c>
      <c r="W653" t="s">
        <v>3303</v>
      </c>
      <c r="X653">
        <v>6</v>
      </c>
      <c r="Y653" t="s">
        <v>4618</v>
      </c>
      <c r="Z653" t="s">
        <v>5933</v>
      </c>
      <c r="AA653">
        <v>1.3990100422841389</v>
      </c>
      <c r="AB653" t="str">
        <f>HYPERLINK("Melting_Curves/meltCurve_P50990_2_CCT8.pdf", "Melting_Curves/meltCurve_P50990_2_CCT8.pdf")</f>
        <v>Melting_Curves/meltCurve_P50990_2_CCT8.pdf</v>
      </c>
    </row>
    <row r="654" spans="1:28" x14ac:dyDescent="0.25">
      <c r="A654" t="s">
        <v>658</v>
      </c>
      <c r="B654">
        <v>1</v>
      </c>
      <c r="C654">
        <v>0.91158925202671703</v>
      </c>
      <c r="D654">
        <v>1.1505634018253199</v>
      </c>
      <c r="E654">
        <v>1.36608371998164</v>
      </c>
      <c r="F654">
        <v>1.33457400703615</v>
      </c>
      <c r="G654">
        <v>1.29429460052006</v>
      </c>
      <c r="H654">
        <v>1.2669657879977601</v>
      </c>
      <c r="I654">
        <v>1.90491000866772</v>
      </c>
      <c r="J654">
        <v>1.1098761025850199</v>
      </c>
      <c r="K654">
        <v>1.48014072298985</v>
      </c>
      <c r="L654">
        <v>11522.0705354571</v>
      </c>
      <c r="M654">
        <v>250</v>
      </c>
      <c r="O654">
        <v>46.085324625900299</v>
      </c>
      <c r="P654">
        <v>0.53411108464315404</v>
      </c>
      <c r="Q654">
        <v>1.39383499311783</v>
      </c>
      <c r="R654">
        <v>0.447480359405313</v>
      </c>
      <c r="S654" t="s">
        <v>1980</v>
      </c>
      <c r="T654" t="s">
        <v>2650</v>
      </c>
      <c r="U654" t="s">
        <v>2650</v>
      </c>
      <c r="V654" t="s">
        <v>2650</v>
      </c>
      <c r="W654" t="s">
        <v>3304</v>
      </c>
      <c r="X654">
        <v>1</v>
      </c>
      <c r="Y654" t="s">
        <v>4619</v>
      </c>
      <c r="Z654" t="s">
        <v>5934</v>
      </c>
      <c r="AA654">
        <v>1.313877186234897</v>
      </c>
      <c r="AB654" t="str">
        <f>HYPERLINK("Melting_Curves/meltCurve_P50991_2_CCT4.pdf", "Melting_Curves/meltCurve_P50991_2_CCT4.pdf")</f>
        <v>Melting_Curves/meltCurve_P50991_2_CCT4.pdf</v>
      </c>
    </row>
    <row r="655" spans="1:28" x14ac:dyDescent="0.25">
      <c r="A655" t="s">
        <v>659</v>
      </c>
      <c r="B655">
        <v>1</v>
      </c>
      <c r="C655">
        <v>0.83508729241437996</v>
      </c>
      <c r="D655">
        <v>1.35014295273435</v>
      </c>
      <c r="E655">
        <v>1.85151164912708</v>
      </c>
      <c r="F655">
        <v>1.5123182675345199</v>
      </c>
      <c r="G655">
        <v>1.37654358537624</v>
      </c>
      <c r="H655">
        <v>1.98339315043494</v>
      </c>
      <c r="I655">
        <v>2.2839588782772702</v>
      </c>
      <c r="J655">
        <v>1.33657765070868</v>
      </c>
      <c r="K655">
        <v>2.0976945069651398</v>
      </c>
      <c r="L655">
        <v>11460.961666841</v>
      </c>
      <c r="M655">
        <v>250</v>
      </c>
      <c r="O655">
        <v>45.840935427494102</v>
      </c>
      <c r="P655">
        <v>0.68170544385003196</v>
      </c>
      <c r="Q655">
        <v>1.5</v>
      </c>
      <c r="R655">
        <v>0.31666992248475401</v>
      </c>
      <c r="S655" t="s">
        <v>1981</v>
      </c>
      <c r="T655" t="s">
        <v>2650</v>
      </c>
      <c r="U655" t="s">
        <v>2650</v>
      </c>
      <c r="V655" t="s">
        <v>2650</v>
      </c>
      <c r="W655" t="s">
        <v>3305</v>
      </c>
      <c r="X655">
        <v>2</v>
      </c>
      <c r="Y655" t="s">
        <v>4620</v>
      </c>
      <c r="Z655" t="s">
        <v>5935</v>
      </c>
      <c r="AA655">
        <v>1.4025623279252271</v>
      </c>
      <c r="AB655" t="str">
        <f>HYPERLINK("Melting_Curves/meltCurve_P50995_2_ANXA11.pdf", "Melting_Curves/meltCurve_P50995_2_ANXA11.pdf")</f>
        <v>Melting_Curves/meltCurve_P50995_2_ANXA11.pdf</v>
      </c>
    </row>
    <row r="656" spans="1:28" x14ac:dyDescent="0.25">
      <c r="A656" t="s">
        <v>660</v>
      </c>
      <c r="B656">
        <v>1</v>
      </c>
      <c r="C656">
        <v>0.71040585901739395</v>
      </c>
      <c r="D656">
        <v>1.1316244532601001</v>
      </c>
      <c r="E656">
        <v>1.4650086461194201</v>
      </c>
      <c r="F656">
        <v>1.1771945885464301</v>
      </c>
      <c r="G656">
        <v>1.3660868680703899</v>
      </c>
      <c r="H656">
        <v>1.46958600345845</v>
      </c>
      <c r="I656">
        <v>2.1053300783236701</v>
      </c>
      <c r="J656">
        <v>1.5666768385718599</v>
      </c>
      <c r="K656">
        <v>2.0047299359170001</v>
      </c>
      <c r="L656">
        <v>1077.28041325917</v>
      </c>
      <c r="M656">
        <v>21.941825082496901</v>
      </c>
      <c r="O656">
        <v>48.694761817848303</v>
      </c>
      <c r="P656">
        <v>5.6326179477584802E-2</v>
      </c>
      <c r="Q656">
        <v>1.5</v>
      </c>
      <c r="R656">
        <v>0.50211088542446403</v>
      </c>
      <c r="S656" t="s">
        <v>1982</v>
      </c>
      <c r="T656" t="s">
        <v>2650</v>
      </c>
      <c r="U656" t="s">
        <v>2650</v>
      </c>
      <c r="V656" t="s">
        <v>2650</v>
      </c>
      <c r="W656" t="s">
        <v>3306</v>
      </c>
      <c r="X656">
        <v>2</v>
      </c>
      <c r="Y656" t="s">
        <v>4621</v>
      </c>
      <c r="Z656" t="s">
        <v>5936</v>
      </c>
      <c r="AA656">
        <v>1.3425867099528319</v>
      </c>
      <c r="AB656" t="str">
        <f>HYPERLINK("Melting_Curves/meltCurve_P51148_RAB5C.pdf", "Melting_Curves/meltCurve_P51148_RAB5C.pdf")</f>
        <v>Melting_Curves/meltCurve_P51148_RAB5C.pdf</v>
      </c>
    </row>
    <row r="657" spans="1:28" x14ac:dyDescent="0.25">
      <c r="A657" t="s">
        <v>661</v>
      </c>
      <c r="B657">
        <v>1</v>
      </c>
      <c r="C657">
        <v>0.95616944912719504</v>
      </c>
      <c r="D657">
        <v>1.2254472782641801</v>
      </c>
      <c r="E657">
        <v>1.84893142639622</v>
      </c>
      <c r="F657">
        <v>1.55514166077546</v>
      </c>
      <c r="G657">
        <v>1.7184186198270699</v>
      </c>
      <c r="H657">
        <v>1.81372015879058</v>
      </c>
      <c r="I657">
        <v>2.8378378378378399</v>
      </c>
      <c r="J657">
        <v>2.0610147370710701</v>
      </c>
      <c r="K657">
        <v>3.2751916906846499</v>
      </c>
      <c r="L657">
        <v>11509.0646204697</v>
      </c>
      <c r="M657">
        <v>250</v>
      </c>
      <c r="O657">
        <v>46.033312223078603</v>
      </c>
      <c r="P657">
        <v>0.67885621003764895</v>
      </c>
      <c r="Q657">
        <v>1.5</v>
      </c>
      <c r="R657">
        <v>-9.1707920315966099E-2</v>
      </c>
      <c r="S657" t="s">
        <v>1983</v>
      </c>
      <c r="T657" t="s">
        <v>2650</v>
      </c>
      <c r="U657" t="s">
        <v>2650</v>
      </c>
      <c r="V657" t="s">
        <v>2650</v>
      </c>
      <c r="W657" t="s">
        <v>3307</v>
      </c>
      <c r="X657">
        <v>2</v>
      </c>
      <c r="Y657" t="s">
        <v>4622</v>
      </c>
      <c r="Z657" t="s">
        <v>5937</v>
      </c>
      <c r="AA657">
        <v>1.3993552955101101</v>
      </c>
      <c r="AB657" t="str">
        <f>HYPERLINK("Melting_Curves/meltCurve_P51149_RAB7A.pdf", "Melting_Curves/meltCurve_P51149_RAB7A.pdf")</f>
        <v>Melting_Curves/meltCurve_P51149_RAB7A.pdf</v>
      </c>
    </row>
    <row r="658" spans="1:28" x14ac:dyDescent="0.25">
      <c r="A658" t="s">
        <v>662</v>
      </c>
      <c r="B658">
        <v>1</v>
      </c>
      <c r="C658">
        <v>0.87787775810079904</v>
      </c>
      <c r="D658">
        <v>1.2281864739386401</v>
      </c>
      <c r="E658">
        <v>1.15464509644378</v>
      </c>
      <c r="F658">
        <v>0.973268558847461</v>
      </c>
      <c r="G658">
        <v>1.07737041114249</v>
      </c>
      <c r="H658">
        <v>0.98875221366007704</v>
      </c>
      <c r="I658">
        <v>1.11680945771311</v>
      </c>
      <c r="J658">
        <v>0.82525247690614101</v>
      </c>
      <c r="K658">
        <v>0.96812329488345406</v>
      </c>
      <c r="L658">
        <v>2401.1229186327901</v>
      </c>
      <c r="M658">
        <v>36.238476403146997</v>
      </c>
      <c r="O658">
        <v>66.058138645593402</v>
      </c>
      <c r="P658">
        <v>-1.2579045487763301E-2</v>
      </c>
      <c r="Q658">
        <v>0.90828027893157004</v>
      </c>
      <c r="R658">
        <v>3.90775454370672E-2</v>
      </c>
      <c r="S658" t="s">
        <v>1984</v>
      </c>
      <c r="T658" t="s">
        <v>2650</v>
      </c>
      <c r="U658" t="s">
        <v>2650</v>
      </c>
      <c r="V658" t="s">
        <v>2650</v>
      </c>
      <c r="W658" t="s">
        <v>3308</v>
      </c>
      <c r="X658">
        <v>1</v>
      </c>
      <c r="Y658" t="s">
        <v>4623</v>
      </c>
      <c r="Z658" t="s">
        <v>5938</v>
      </c>
      <c r="AA658">
        <v>0.9881792001562385</v>
      </c>
      <c r="AB658" t="str">
        <f>HYPERLINK("Melting_Curves/meltCurve_P51159_2_RAB27A.pdf", "Melting_Curves/meltCurve_P51159_2_RAB27A.pdf")</f>
        <v>Melting_Curves/meltCurve_P51159_2_RAB27A.pdf</v>
      </c>
    </row>
    <row r="659" spans="1:28" x14ac:dyDescent="0.25">
      <c r="A659" t="s">
        <v>663</v>
      </c>
      <c r="B659">
        <v>1</v>
      </c>
      <c r="C659">
        <v>0.86261958214509604</v>
      </c>
      <c r="D659">
        <v>1.18216936674555</v>
      </c>
      <c r="E659">
        <v>1.48989745767854</v>
      </c>
      <c r="F659">
        <v>1.4333677163602501</v>
      </c>
      <c r="G659">
        <v>1.59688934732925</v>
      </c>
      <c r="H659">
        <v>1.5848552879072899</v>
      </c>
      <c r="I659">
        <v>2.0220253625386801</v>
      </c>
      <c r="J659">
        <v>1.31545415933499</v>
      </c>
      <c r="K659">
        <v>1.60538397750946</v>
      </c>
      <c r="L659">
        <v>11525.602764855001</v>
      </c>
      <c r="M659">
        <v>250</v>
      </c>
      <c r="O659">
        <v>46.0994393243123</v>
      </c>
      <c r="P659">
        <v>0.677882113602985</v>
      </c>
      <c r="Q659">
        <v>1.5</v>
      </c>
      <c r="R659">
        <v>0.64717369318622597</v>
      </c>
      <c r="S659" t="s">
        <v>1985</v>
      </c>
      <c r="T659" t="s">
        <v>2650</v>
      </c>
      <c r="U659" t="s">
        <v>2650</v>
      </c>
      <c r="V659" t="s">
        <v>2650</v>
      </c>
      <c r="W659" t="s">
        <v>3309</v>
      </c>
      <c r="X659">
        <v>1</v>
      </c>
      <c r="Y659" t="s">
        <v>4624</v>
      </c>
      <c r="Z659" t="s">
        <v>5939</v>
      </c>
      <c r="AA659">
        <v>1.3982526945027181</v>
      </c>
      <c r="AB659" t="str">
        <f>HYPERLINK("Melting_Curves/meltCurve_P51452_2_DUSP3.pdf", "Melting_Curves/meltCurve_P51452_2_DUSP3.pdf")</f>
        <v>Melting_Curves/meltCurve_P51452_2_DUSP3.pdf</v>
      </c>
    </row>
    <row r="660" spans="1:28" x14ac:dyDescent="0.25">
      <c r="A660" t="s">
        <v>664</v>
      </c>
      <c r="B660">
        <v>1</v>
      </c>
      <c r="C660">
        <v>0.79198782961460401</v>
      </c>
      <c r="D660">
        <v>1.1328600405679501</v>
      </c>
      <c r="E660">
        <v>1.2789553752535501</v>
      </c>
      <c r="F660">
        <v>0.86962474645030396</v>
      </c>
      <c r="G660">
        <v>0.99700811359026398</v>
      </c>
      <c r="H660">
        <v>0.93620689655172395</v>
      </c>
      <c r="I660">
        <v>1.0038539553752499</v>
      </c>
      <c r="J660">
        <v>0.70375253549695704</v>
      </c>
      <c r="K660">
        <v>0.91424949290060897</v>
      </c>
      <c r="L660">
        <v>15000</v>
      </c>
      <c r="M660">
        <v>230.462309139464</v>
      </c>
      <c r="O660">
        <v>65.081663511831806</v>
      </c>
      <c r="P660">
        <v>-0.169074289324495</v>
      </c>
      <c r="Q660">
        <v>0.80901630225258503</v>
      </c>
      <c r="R660">
        <v>0.244923226897064</v>
      </c>
      <c r="S660" t="s">
        <v>1986</v>
      </c>
      <c r="T660" t="s">
        <v>2650</v>
      </c>
      <c r="U660" t="s">
        <v>2650</v>
      </c>
      <c r="V660" t="s">
        <v>2650</v>
      </c>
      <c r="W660" t="s">
        <v>3310</v>
      </c>
      <c r="X660">
        <v>2</v>
      </c>
      <c r="Y660" t="s">
        <v>4625</v>
      </c>
      <c r="Z660" t="s">
        <v>5940</v>
      </c>
      <c r="AA660">
        <v>0.9687461371118985</v>
      </c>
      <c r="AB660" t="str">
        <f>HYPERLINK("Melting_Curves/meltCurve_P51511_MMP15.pdf", "Melting_Curves/meltCurve_P51511_MMP15.pdf")</f>
        <v>Melting_Curves/meltCurve_P51511_MMP15.pdf</v>
      </c>
    </row>
    <row r="661" spans="1:28" x14ac:dyDescent="0.25">
      <c r="A661" t="s">
        <v>665</v>
      </c>
      <c r="B661">
        <v>1</v>
      </c>
      <c r="C661">
        <v>0.80318633698700004</v>
      </c>
      <c r="D661">
        <v>1.29645679327046</v>
      </c>
      <c r="E661">
        <v>1.54278188461212</v>
      </c>
      <c r="F661">
        <v>1.3059733197383001</v>
      </c>
      <c r="G661">
        <v>1.80134250998386</v>
      </c>
      <c r="H661">
        <v>2.6116917325176301</v>
      </c>
      <c r="I661">
        <v>4.2615345398929403</v>
      </c>
      <c r="J661">
        <v>3.09006712549919</v>
      </c>
      <c r="K661">
        <v>4.2327300535304602</v>
      </c>
      <c r="L661">
        <v>11482.7029334323</v>
      </c>
      <c r="M661">
        <v>250</v>
      </c>
      <c r="O661">
        <v>45.927873170178998</v>
      </c>
      <c r="P661">
        <v>0.680414710247216</v>
      </c>
      <c r="Q661">
        <v>1.5</v>
      </c>
      <c r="R661">
        <v>-0.27348452651477301</v>
      </c>
      <c r="S661" t="s">
        <v>1987</v>
      </c>
      <c r="T661" t="s">
        <v>2650</v>
      </c>
      <c r="U661" t="s">
        <v>2650</v>
      </c>
      <c r="V661" t="s">
        <v>2650</v>
      </c>
      <c r="W661" t="s">
        <v>3311</v>
      </c>
      <c r="X661">
        <v>2</v>
      </c>
      <c r="Y661" t="s">
        <v>4626</v>
      </c>
      <c r="Z661" t="s">
        <v>5941</v>
      </c>
      <c r="AA661">
        <v>1.4011128338413039</v>
      </c>
      <c r="AB661" t="str">
        <f>HYPERLINK("Melting_Curves/meltCurve_P51688_SGSH.pdf", "Melting_Curves/meltCurve_P51688_SGSH.pdf")</f>
        <v>Melting_Curves/meltCurve_P51688_SGSH.pdf</v>
      </c>
    </row>
    <row r="662" spans="1:28" x14ac:dyDescent="0.25">
      <c r="A662" t="s">
        <v>666</v>
      </c>
      <c r="B662">
        <v>1</v>
      </c>
      <c r="C662">
        <v>0.57625842770177405</v>
      </c>
      <c r="D662">
        <v>0.89582378739281299</v>
      </c>
      <c r="E662">
        <v>0.96484911959154296</v>
      </c>
      <c r="F662">
        <v>0.75832951495712497</v>
      </c>
      <c r="G662">
        <v>0.94701184787589199</v>
      </c>
      <c r="H662">
        <v>0.81118675132552198</v>
      </c>
      <c r="I662">
        <v>0.77318845323034602</v>
      </c>
      <c r="J662">
        <v>0.58630621195260801</v>
      </c>
      <c r="K662">
        <v>0.69401714996399799</v>
      </c>
      <c r="L662">
        <v>121.56329116084601</v>
      </c>
      <c r="M662">
        <v>0.82533474931316697</v>
      </c>
      <c r="O662">
        <v>44.800663095699598</v>
      </c>
      <c r="P662">
        <v>-6.9154953676299497E-3</v>
      </c>
      <c r="Q662">
        <v>0</v>
      </c>
      <c r="R662">
        <v>0.16122640933681601</v>
      </c>
      <c r="S662" t="s">
        <v>1988</v>
      </c>
      <c r="T662" t="s">
        <v>2650</v>
      </c>
      <c r="U662" t="s">
        <v>2650</v>
      </c>
      <c r="V662" t="s">
        <v>2650</v>
      </c>
      <c r="W662" t="s">
        <v>3312</v>
      </c>
      <c r="X662">
        <v>1</v>
      </c>
      <c r="Y662" t="s">
        <v>4627</v>
      </c>
      <c r="Z662" t="s">
        <v>5942</v>
      </c>
      <c r="AA662">
        <v>0.80248223692550413</v>
      </c>
      <c r="AB662" t="str">
        <f>HYPERLINK("Melting_Curves/meltCurve_P51815_ZNF75D.pdf", "Melting_Curves/meltCurve_P51815_ZNF75D.pdf")</f>
        <v>Melting_Curves/meltCurve_P51815_ZNF75D.pdf</v>
      </c>
    </row>
    <row r="663" spans="1:28" x14ac:dyDescent="0.25">
      <c r="A663" t="s">
        <v>667</v>
      </c>
      <c r="B663">
        <v>1</v>
      </c>
      <c r="C663">
        <v>0.81618658427190305</v>
      </c>
      <c r="D663">
        <v>1.1787501245888601</v>
      </c>
      <c r="E663">
        <v>1.7729293332004401</v>
      </c>
      <c r="F663">
        <v>1.7164556962025299</v>
      </c>
      <c r="G663">
        <v>2.2130967806239399</v>
      </c>
      <c r="H663">
        <v>2.0627927838134199</v>
      </c>
      <c r="I663">
        <v>3.0272102063191499</v>
      </c>
      <c r="J663">
        <v>1.93453603109738</v>
      </c>
      <c r="K663">
        <v>2.80494368583674</v>
      </c>
      <c r="L663">
        <v>11526.9665980933</v>
      </c>
      <c r="M663">
        <v>250</v>
      </c>
      <c r="O663">
        <v>46.104916205070801</v>
      </c>
      <c r="P663">
        <v>0.67780191109578103</v>
      </c>
      <c r="Q663">
        <v>1.5</v>
      </c>
      <c r="R663">
        <v>-9.6236535706840001E-2</v>
      </c>
      <c r="S663" t="s">
        <v>1989</v>
      </c>
      <c r="T663" t="s">
        <v>2650</v>
      </c>
      <c r="U663" t="s">
        <v>2650</v>
      </c>
      <c r="V663" t="s">
        <v>2650</v>
      </c>
      <c r="W663" t="s">
        <v>3313</v>
      </c>
      <c r="X663">
        <v>4</v>
      </c>
      <c r="Y663" t="s">
        <v>4628</v>
      </c>
      <c r="Z663" t="s">
        <v>5943</v>
      </c>
      <c r="AA663">
        <v>1.398161767499819</v>
      </c>
      <c r="AB663" t="str">
        <f>HYPERLINK("Melting_Curves/meltCurve_P52209_2_PGD.pdf", "Melting_Curves/meltCurve_P52209_2_PGD.pdf")</f>
        <v>Melting_Curves/meltCurve_P52209_2_PGD.pdf</v>
      </c>
    </row>
    <row r="664" spans="1:28" x14ac:dyDescent="0.25">
      <c r="A664" t="s">
        <v>668</v>
      </c>
      <c r="B664">
        <v>1</v>
      </c>
      <c r="C664">
        <v>0.76354484786788801</v>
      </c>
      <c r="D664">
        <v>1.31455717678996</v>
      </c>
      <c r="E664">
        <v>2.0840402669381302</v>
      </c>
      <c r="F664">
        <v>2.1524148851939802</v>
      </c>
      <c r="G664">
        <v>2.7330618708290899</v>
      </c>
      <c r="H664">
        <v>2.7033141047392801</v>
      </c>
      <c r="I664">
        <v>3.1585227915394198</v>
      </c>
      <c r="J664">
        <v>2.0231308675489199</v>
      </c>
      <c r="K664">
        <v>2.8232100441126602</v>
      </c>
      <c r="S664" t="s">
        <v>1990</v>
      </c>
      <c r="T664" t="s">
        <v>2650</v>
      </c>
      <c r="U664" t="s">
        <v>2651</v>
      </c>
      <c r="V664" t="s">
        <v>2650</v>
      </c>
      <c r="W664" t="s">
        <v>3314</v>
      </c>
      <c r="X664">
        <v>6</v>
      </c>
      <c r="Y664" t="s">
        <v>4629</v>
      </c>
      <c r="Z664" t="s">
        <v>5944</v>
      </c>
      <c r="AB664" t="str">
        <f>HYPERLINK("Melting_Curves/meltCurve_P52565_ARHGDIA.pdf", "Melting_Curves/meltCurve_P52565_ARHGDIA.pdf")</f>
        <v>Melting_Curves/meltCurve_P52565_ARHGDIA.pdf</v>
      </c>
    </row>
    <row r="665" spans="1:28" x14ac:dyDescent="0.25">
      <c r="A665" t="s">
        <v>669</v>
      </c>
      <c r="B665">
        <v>1</v>
      </c>
      <c r="C665">
        <v>0.73090215569554395</v>
      </c>
      <c r="D665">
        <v>1.08175460902734</v>
      </c>
      <c r="E665">
        <v>1.5678206091429201</v>
      </c>
      <c r="F665">
        <v>1.6457261746517899</v>
      </c>
      <c r="G665">
        <v>1.97098768999595</v>
      </c>
      <c r="H665">
        <v>1.8367913078656899</v>
      </c>
      <c r="I665">
        <v>2.3837484829220399</v>
      </c>
      <c r="J665">
        <v>1.4808992660232301</v>
      </c>
      <c r="K665">
        <v>2.00959371207305</v>
      </c>
      <c r="L665">
        <v>11575.0879226663</v>
      </c>
      <c r="M665">
        <v>250</v>
      </c>
      <c r="O665">
        <v>46.297378367634202</v>
      </c>
      <c r="P665">
        <v>0.67498407228977897</v>
      </c>
      <c r="Q665">
        <v>1.5</v>
      </c>
      <c r="R665">
        <v>0.37740860933522502</v>
      </c>
      <c r="S665" t="s">
        <v>1991</v>
      </c>
      <c r="T665" t="s">
        <v>2650</v>
      </c>
      <c r="U665" t="s">
        <v>2650</v>
      </c>
      <c r="V665" t="s">
        <v>2650</v>
      </c>
      <c r="W665" t="s">
        <v>3315</v>
      </c>
      <c r="X665">
        <v>1</v>
      </c>
      <c r="Y665" t="s">
        <v>4630</v>
      </c>
      <c r="Z665" t="s">
        <v>5945</v>
      </c>
      <c r="AA665">
        <v>1.394953510290601</v>
      </c>
      <c r="AB665" t="str">
        <f>HYPERLINK("Melting_Curves/meltCurve_P52566_ARHGDIB.pdf", "Melting_Curves/meltCurve_P52566_ARHGDIB.pdf")</f>
        <v>Melting_Curves/meltCurve_P52566_ARHGDIB.pdf</v>
      </c>
    </row>
    <row r="666" spans="1:28" x14ac:dyDescent="0.25">
      <c r="A666" t="s">
        <v>670</v>
      </c>
      <c r="B666">
        <v>1</v>
      </c>
      <c r="C666">
        <v>0.76611533719496605</v>
      </c>
      <c r="D666">
        <v>1.04922418405564</v>
      </c>
      <c r="E666">
        <v>1.0027682787819601</v>
      </c>
      <c r="F666">
        <v>1.08972480052109</v>
      </c>
      <c r="G666">
        <v>1.08656105334171</v>
      </c>
      <c r="H666">
        <v>0.97813292390722795</v>
      </c>
      <c r="I666">
        <v>1.1941982459813401</v>
      </c>
      <c r="J666">
        <v>0.72963919324446902</v>
      </c>
      <c r="K666">
        <v>0.934887291506735</v>
      </c>
      <c r="L666">
        <v>1394.2474211009601</v>
      </c>
      <c r="M666">
        <v>19.719099133990799</v>
      </c>
      <c r="O666">
        <v>69.990318943616501</v>
      </c>
      <c r="P666">
        <v>-1.6817303646508599E-2</v>
      </c>
      <c r="Q666">
        <v>0.76124509086330305</v>
      </c>
      <c r="R666">
        <v>9.2909757175768201E-2</v>
      </c>
      <c r="S666" t="s">
        <v>1992</v>
      </c>
      <c r="T666" t="s">
        <v>2650</v>
      </c>
      <c r="U666" t="s">
        <v>2650</v>
      </c>
      <c r="V666" t="s">
        <v>2650</v>
      </c>
      <c r="W666" t="s">
        <v>3316</v>
      </c>
      <c r="X666">
        <v>2</v>
      </c>
      <c r="Y666" t="s">
        <v>4631</v>
      </c>
      <c r="Z666" t="s">
        <v>5946</v>
      </c>
      <c r="AA666">
        <v>0.984939606756561</v>
      </c>
      <c r="AB666" t="str">
        <f>HYPERLINK("Melting_Curves/meltCurve_P52758_RIDA.pdf", "Melting_Curves/meltCurve_P52758_RIDA.pdf")</f>
        <v>Melting_Curves/meltCurve_P52758_RIDA.pdf</v>
      </c>
    </row>
    <row r="667" spans="1:28" x14ac:dyDescent="0.25">
      <c r="A667" t="s">
        <v>671</v>
      </c>
      <c r="B667">
        <v>1</v>
      </c>
      <c r="C667">
        <v>1.08904287009455</v>
      </c>
      <c r="D667">
        <v>1.2789794068125899</v>
      </c>
      <c r="E667">
        <v>1.67951042611061</v>
      </c>
      <c r="F667">
        <v>1.3445149592021799</v>
      </c>
      <c r="G667">
        <v>1.9409402927082</v>
      </c>
      <c r="H667">
        <v>1.60834088848595</v>
      </c>
      <c r="I667">
        <v>1.7201787333247001</v>
      </c>
      <c r="J667">
        <v>1.56171480378189</v>
      </c>
      <c r="K667">
        <v>1.78254112161637</v>
      </c>
      <c r="L667">
        <v>2032.40315109729</v>
      </c>
      <c r="M667">
        <v>44.640667666347397</v>
      </c>
      <c r="O667">
        <v>45.436982740570002</v>
      </c>
      <c r="P667">
        <v>0.122809452121388</v>
      </c>
      <c r="Q667">
        <v>1.5</v>
      </c>
      <c r="R667">
        <v>0.53390929931737097</v>
      </c>
      <c r="S667" t="s">
        <v>1993</v>
      </c>
      <c r="T667" t="s">
        <v>2650</v>
      </c>
      <c r="U667" t="s">
        <v>2650</v>
      </c>
      <c r="V667" t="s">
        <v>2650</v>
      </c>
      <c r="W667" t="s">
        <v>3317</v>
      </c>
      <c r="X667">
        <v>2</v>
      </c>
      <c r="Y667" t="s">
        <v>4632</v>
      </c>
      <c r="Z667" t="s">
        <v>5947</v>
      </c>
      <c r="AA667">
        <v>1.406577690662189</v>
      </c>
      <c r="AB667" t="str">
        <f>HYPERLINK("Melting_Curves/meltCurve_P52788_SMS.pdf", "Melting_Curves/meltCurve_P52788_SMS.pdf")</f>
        <v>Melting_Curves/meltCurve_P52788_SMS.pdf</v>
      </c>
    </row>
    <row r="668" spans="1:28" x14ac:dyDescent="0.25">
      <c r="A668" t="s">
        <v>672</v>
      </c>
      <c r="B668">
        <v>1</v>
      </c>
      <c r="C668">
        <v>0.63344910499599205</v>
      </c>
      <c r="D668">
        <v>1.1561390786611201</v>
      </c>
      <c r="E668">
        <v>1.3117438265715</v>
      </c>
      <c r="F668">
        <v>0.99461852601045797</v>
      </c>
      <c r="G668">
        <v>0.99931300332048401</v>
      </c>
      <c r="H668">
        <v>1.4462043433456699</v>
      </c>
      <c r="I668">
        <v>1.11148429449258</v>
      </c>
      <c r="J668">
        <v>0.68172970497309304</v>
      </c>
      <c r="K668">
        <v>0.880462577764207</v>
      </c>
      <c r="L668">
        <v>1812.6279970088899</v>
      </c>
      <c r="M668">
        <v>25.552743496353798</v>
      </c>
      <c r="Q668">
        <v>0.61076146073578996</v>
      </c>
      <c r="R668">
        <v>6.3948548491342197E-2</v>
      </c>
      <c r="S668" t="s">
        <v>1994</v>
      </c>
      <c r="T668" t="s">
        <v>2650</v>
      </c>
      <c r="U668" t="s">
        <v>2650</v>
      </c>
      <c r="V668" t="s">
        <v>2650</v>
      </c>
      <c r="W668" t="s">
        <v>3318</v>
      </c>
      <c r="X668">
        <v>1</v>
      </c>
      <c r="Y668" t="s">
        <v>4633</v>
      </c>
      <c r="Z668" t="s">
        <v>5948</v>
      </c>
      <c r="AA668">
        <v>0.98265721995581512</v>
      </c>
      <c r="AB668" t="str">
        <f>HYPERLINK("Melting_Curves/meltCurve_P52799_EFNB2.pdf", "Melting_Curves/meltCurve_P52799_EFNB2.pdf")</f>
        <v>Melting_Curves/meltCurve_P52799_EFNB2.pdf</v>
      </c>
    </row>
    <row r="669" spans="1:28" x14ac:dyDescent="0.25">
      <c r="A669" t="s">
        <v>673</v>
      </c>
      <c r="B669">
        <v>1</v>
      </c>
      <c r="C669">
        <v>0.82788161993769505</v>
      </c>
      <c r="D669">
        <v>1.1841600766834399</v>
      </c>
      <c r="E669">
        <v>1.4575844716031601</v>
      </c>
      <c r="F669">
        <v>1.1245806374311</v>
      </c>
      <c r="G669">
        <v>1.0730889048646099</v>
      </c>
      <c r="H669">
        <v>1.0741972202252601</v>
      </c>
      <c r="I669">
        <v>1.2440690150970499</v>
      </c>
      <c r="J669">
        <v>0.87501497723460298</v>
      </c>
      <c r="K669">
        <v>1.06597471842799</v>
      </c>
      <c r="L669">
        <v>11129.2745235495</v>
      </c>
      <c r="M669">
        <v>250</v>
      </c>
      <c r="O669">
        <v>44.514227524766198</v>
      </c>
      <c r="P669">
        <v>0.19282531801486699</v>
      </c>
      <c r="Q669">
        <v>1.1373355887773799</v>
      </c>
      <c r="R669">
        <v>0.22194614002270299</v>
      </c>
      <c r="S669" t="s">
        <v>1995</v>
      </c>
      <c r="T669" t="s">
        <v>2650</v>
      </c>
      <c r="U669" t="s">
        <v>2650</v>
      </c>
      <c r="V669" t="s">
        <v>2650</v>
      </c>
      <c r="W669" t="s">
        <v>3319</v>
      </c>
      <c r="X669">
        <v>3</v>
      </c>
      <c r="Y669" t="s">
        <v>4634</v>
      </c>
      <c r="Z669" t="s">
        <v>5949</v>
      </c>
      <c r="AA669">
        <v>1.1166462483076069</v>
      </c>
      <c r="AB669" t="str">
        <f>HYPERLINK("Melting_Curves/meltCurve_P52823_2_STC1.pdf", "Melting_Curves/meltCurve_P52823_2_STC1.pdf")</f>
        <v>Melting_Curves/meltCurve_P52823_2_STC1.pdf</v>
      </c>
    </row>
    <row r="670" spans="1:28" x14ac:dyDescent="0.25">
      <c r="A670" t="s">
        <v>674</v>
      </c>
      <c r="B670">
        <v>1</v>
      </c>
      <c r="C670">
        <v>0.93622025621739102</v>
      </c>
      <c r="D670">
        <v>1.7682104182337</v>
      </c>
      <c r="E670">
        <v>2.3552658285277599</v>
      </c>
      <c r="F670">
        <v>2.0640662869969102</v>
      </c>
      <c r="G670">
        <v>2.2512745203386002</v>
      </c>
      <c r="H670">
        <v>2.2303807442960002</v>
      </c>
      <c r="I670">
        <v>2.72383203791922</v>
      </c>
      <c r="J670">
        <v>1.4100314003605701</v>
      </c>
      <c r="K670">
        <v>2.2830330599233499</v>
      </c>
      <c r="L670">
        <v>11068.6687976095</v>
      </c>
      <c r="M670">
        <v>250</v>
      </c>
      <c r="O670">
        <v>44.271841247754097</v>
      </c>
      <c r="P670">
        <v>0.70586627282532299</v>
      </c>
      <c r="Q670">
        <v>1.5</v>
      </c>
      <c r="R670">
        <v>-0.32057069720533399</v>
      </c>
      <c r="S670" t="s">
        <v>1996</v>
      </c>
      <c r="T670" t="s">
        <v>2650</v>
      </c>
      <c r="U670" t="s">
        <v>2650</v>
      </c>
      <c r="V670" t="s">
        <v>2650</v>
      </c>
      <c r="W670" t="s">
        <v>3320</v>
      </c>
      <c r="X670">
        <v>3</v>
      </c>
      <c r="Y670" t="s">
        <v>4635</v>
      </c>
      <c r="Z670" t="s">
        <v>5950</v>
      </c>
      <c r="AA670">
        <v>1.4287165628097469</v>
      </c>
      <c r="AB670" t="str">
        <f>HYPERLINK("Melting_Curves/meltCurve_P52907_CAPZA1.pdf", "Melting_Curves/meltCurve_P52907_CAPZA1.pdf")</f>
        <v>Melting_Curves/meltCurve_P52907_CAPZA1.pdf</v>
      </c>
    </row>
    <row r="671" spans="1:28" x14ac:dyDescent="0.25">
      <c r="A671" t="s">
        <v>675</v>
      </c>
      <c r="B671">
        <v>1</v>
      </c>
      <c r="C671">
        <v>0.66458097852414</v>
      </c>
      <c r="D671">
        <v>1.08465202648151</v>
      </c>
      <c r="E671">
        <v>1.2692959793315</v>
      </c>
      <c r="F671">
        <v>0.82060390763765501</v>
      </c>
      <c r="G671">
        <v>0.861416114968513</v>
      </c>
      <c r="H671">
        <v>0.88337639270143697</v>
      </c>
      <c r="I671">
        <v>0.98009849830453699</v>
      </c>
      <c r="J671">
        <v>0.51998223801065702</v>
      </c>
      <c r="K671">
        <v>0.79218472468916501</v>
      </c>
      <c r="L671">
        <v>800.09109384330804</v>
      </c>
      <c r="M671">
        <v>12.440159919493301</v>
      </c>
      <c r="O671">
        <v>62.7210677141031</v>
      </c>
      <c r="P671">
        <v>-2.0031595699391499E-2</v>
      </c>
      <c r="Q671">
        <v>0.59610174534726601</v>
      </c>
      <c r="R671">
        <v>0.214480693385943</v>
      </c>
      <c r="S671" t="s">
        <v>1997</v>
      </c>
      <c r="T671" t="s">
        <v>2650</v>
      </c>
      <c r="U671" t="s">
        <v>2650</v>
      </c>
      <c r="V671" t="s">
        <v>2650</v>
      </c>
      <c r="W671" t="s">
        <v>3321</v>
      </c>
      <c r="X671">
        <v>1</v>
      </c>
      <c r="Y671" t="s">
        <v>4636</v>
      </c>
      <c r="Z671" t="s">
        <v>5951</v>
      </c>
      <c r="AA671">
        <v>0.91132585891380458</v>
      </c>
      <c r="AB671" t="str">
        <f>HYPERLINK("Melting_Curves/meltCurve_P52943_CRIP2.pdf", "Melting_Curves/meltCurve_P52943_CRIP2.pdf")</f>
        <v>Melting_Curves/meltCurve_P52943_CRIP2.pdf</v>
      </c>
    </row>
    <row r="672" spans="1:28" x14ac:dyDescent="0.25">
      <c r="A672" t="s">
        <v>676</v>
      </c>
      <c r="B672">
        <v>1</v>
      </c>
      <c r="C672">
        <v>1.12315855181024</v>
      </c>
      <c r="D672">
        <v>1.1921348314606699</v>
      </c>
      <c r="E672">
        <v>1.8129837702871401</v>
      </c>
      <c r="F672">
        <v>1.2738451935081101</v>
      </c>
      <c r="G672">
        <v>2.1172284644194801</v>
      </c>
      <c r="H672">
        <v>2.8108614232209699</v>
      </c>
      <c r="I672">
        <v>3.5365792759051198</v>
      </c>
      <c r="J672">
        <v>3.2278401997503101</v>
      </c>
      <c r="K672">
        <v>4.9467540574282101</v>
      </c>
      <c r="L672">
        <v>11521.6873659668</v>
      </c>
      <c r="M672">
        <v>250</v>
      </c>
      <c r="O672">
        <v>46.083776381034099</v>
      </c>
      <c r="P672">
        <v>0.67811247679945097</v>
      </c>
      <c r="Q672">
        <v>1.5</v>
      </c>
      <c r="R672">
        <v>-0.39227535873463698</v>
      </c>
      <c r="S672" t="s">
        <v>1998</v>
      </c>
      <c r="T672" t="s">
        <v>2650</v>
      </c>
      <c r="U672" t="s">
        <v>2650</v>
      </c>
      <c r="V672" t="s">
        <v>2650</v>
      </c>
      <c r="W672" t="s">
        <v>3322</v>
      </c>
      <c r="X672">
        <v>1</v>
      </c>
      <c r="Y672" t="s">
        <v>4637</v>
      </c>
      <c r="Z672" t="s">
        <v>5952</v>
      </c>
      <c r="AA672">
        <v>1.3985137348381931</v>
      </c>
      <c r="AB672" t="str">
        <f>HYPERLINK("Melting_Curves/meltCurve_P53004_BLVRA.pdf", "Melting_Curves/meltCurve_P53004_BLVRA.pdf")</f>
        <v>Melting_Curves/meltCurve_P53004_BLVRA.pdf</v>
      </c>
    </row>
    <row r="673" spans="1:28" x14ac:dyDescent="0.25">
      <c r="A673" t="s">
        <v>677</v>
      </c>
      <c r="B673">
        <v>1</v>
      </c>
      <c r="C673">
        <v>0.95895459876026101</v>
      </c>
      <c r="D673">
        <v>1.2490087675210799</v>
      </c>
      <c r="E673">
        <v>1.3113866085888199</v>
      </c>
      <c r="F673">
        <v>1.50321103479086</v>
      </c>
      <c r="G673">
        <v>1.5788239236052899</v>
      </c>
      <c r="H673">
        <v>1.57731613335567</v>
      </c>
      <c r="I673">
        <v>1.91014686993913</v>
      </c>
      <c r="J673">
        <v>1.505333109957</v>
      </c>
      <c r="K673">
        <v>2.1006310381415099</v>
      </c>
      <c r="L673">
        <v>1179.7279408442901</v>
      </c>
      <c r="M673">
        <v>25.0432714585538</v>
      </c>
      <c r="O673">
        <v>46.810309876618099</v>
      </c>
      <c r="P673">
        <v>6.68752709914604E-2</v>
      </c>
      <c r="Q673">
        <v>1.5</v>
      </c>
      <c r="R673">
        <v>0.51862609781822</v>
      </c>
      <c r="S673" t="s">
        <v>1999</v>
      </c>
      <c r="T673" t="s">
        <v>2650</v>
      </c>
      <c r="U673" t="s">
        <v>2650</v>
      </c>
      <c r="V673" t="s">
        <v>2650</v>
      </c>
      <c r="W673" t="s">
        <v>3323</v>
      </c>
      <c r="X673">
        <v>1</v>
      </c>
      <c r="Y673" t="s">
        <v>4638</v>
      </c>
      <c r="Z673" t="s">
        <v>5953</v>
      </c>
      <c r="AA673">
        <v>1.3771019077861419</v>
      </c>
      <c r="AB673" t="str">
        <f>HYPERLINK("Melting_Curves/meltCurve_P53367_ARFIP1.pdf", "Melting_Curves/meltCurve_P53367_ARFIP1.pdf")</f>
        <v>Melting_Curves/meltCurve_P53367_ARFIP1.pdf</v>
      </c>
    </row>
    <row r="674" spans="1:28" x14ac:dyDescent="0.25">
      <c r="A674" t="s">
        <v>678</v>
      </c>
      <c r="B674">
        <v>1</v>
      </c>
      <c r="C674">
        <v>1.0038611974726701</v>
      </c>
      <c r="D674">
        <v>1.2861297763514199</v>
      </c>
      <c r="E674">
        <v>1.5151940627820699</v>
      </c>
      <c r="F674">
        <v>1.3331160365058701</v>
      </c>
      <c r="G674">
        <v>1.43461037007321</v>
      </c>
      <c r="H674">
        <v>1.3768929896700399</v>
      </c>
      <c r="I674">
        <v>1.6889479490522501</v>
      </c>
      <c r="J674">
        <v>1.37975127870825</v>
      </c>
      <c r="K674">
        <v>1.64221241600642</v>
      </c>
      <c r="L674">
        <v>9088.86547534895</v>
      </c>
      <c r="M674">
        <v>197.965416705172</v>
      </c>
      <c r="O674">
        <v>45.906694878366999</v>
      </c>
      <c r="P674">
        <v>0.51913297052503604</v>
      </c>
      <c r="Q674">
        <v>1.4815321617247099</v>
      </c>
      <c r="R674">
        <v>0.75953480678863305</v>
      </c>
      <c r="S674" t="s">
        <v>2000</v>
      </c>
      <c r="T674" t="s">
        <v>2650</v>
      </c>
      <c r="U674" t="s">
        <v>2650</v>
      </c>
      <c r="V674" t="s">
        <v>2650</v>
      </c>
      <c r="W674" t="s">
        <v>3324</v>
      </c>
      <c r="X674">
        <v>6</v>
      </c>
      <c r="Y674" t="s">
        <v>4639</v>
      </c>
      <c r="Z674" t="s">
        <v>5954</v>
      </c>
      <c r="AA674">
        <v>1.3865862913454789</v>
      </c>
      <c r="AB674" t="str">
        <f>HYPERLINK("Melting_Curves/meltCurve_P53396_2_ACLY.pdf", "Melting_Curves/meltCurve_P53396_2_ACLY.pdf")</f>
        <v>Melting_Curves/meltCurve_P53396_2_ACLY.pdf</v>
      </c>
    </row>
    <row r="675" spans="1:28" x14ac:dyDescent="0.25">
      <c r="A675" t="s">
        <v>679</v>
      </c>
      <c r="B675">
        <v>1</v>
      </c>
      <c r="C675">
        <v>0.85658814392958804</v>
      </c>
      <c r="D675">
        <v>1.2263137457934199</v>
      </c>
      <c r="E675">
        <v>1.54439554750194</v>
      </c>
      <c r="F675">
        <v>1.21654154801967</v>
      </c>
      <c r="G675">
        <v>1.2346621796531201</v>
      </c>
      <c r="H675">
        <v>1.1844421434118599</v>
      </c>
      <c r="I675">
        <v>1.6054879627232701</v>
      </c>
      <c r="J675">
        <v>1.0005824488739301</v>
      </c>
      <c r="K675">
        <v>1.44311415997929</v>
      </c>
      <c r="L675">
        <v>11458.6673653425</v>
      </c>
      <c r="M675">
        <v>250</v>
      </c>
      <c r="O675">
        <v>45.8317361607604</v>
      </c>
      <c r="P675">
        <v>0.43427993862203002</v>
      </c>
      <c r="Q675">
        <v>1.31846085798707</v>
      </c>
      <c r="R675">
        <v>0.42543812397977898</v>
      </c>
      <c r="S675" t="s">
        <v>2001</v>
      </c>
      <c r="T675" t="s">
        <v>2650</v>
      </c>
      <c r="U675" t="s">
        <v>2650</v>
      </c>
      <c r="V675" t="s">
        <v>2650</v>
      </c>
      <c r="W675" t="s">
        <v>3325</v>
      </c>
      <c r="X675">
        <v>2</v>
      </c>
      <c r="Y675" t="s">
        <v>4640</v>
      </c>
      <c r="Z675" t="s">
        <v>5955</v>
      </c>
      <c r="AA675">
        <v>1.256498113180923</v>
      </c>
      <c r="AB675" t="str">
        <f>HYPERLINK("Melting_Curves/meltCurve_P53634_CTSC.pdf", "Melting_Curves/meltCurve_P53634_CTSC.pdf")</f>
        <v>Melting_Curves/meltCurve_P53634_CTSC.pdf</v>
      </c>
    </row>
    <row r="676" spans="1:28" x14ac:dyDescent="0.25">
      <c r="A676" t="s">
        <v>680</v>
      </c>
      <c r="B676">
        <v>1</v>
      </c>
      <c r="C676">
        <v>0.83068447991671701</v>
      </c>
      <c r="D676">
        <v>1.1902489806541201</v>
      </c>
      <c r="E676">
        <v>1.3570746941962299</v>
      </c>
      <c r="F676">
        <v>1.0451114774008801</v>
      </c>
      <c r="G676">
        <v>1.0501431421879099</v>
      </c>
      <c r="H676">
        <v>0.86681703825800305</v>
      </c>
      <c r="I676">
        <v>1.25349180185651</v>
      </c>
      <c r="J676">
        <v>0.77125878372516699</v>
      </c>
      <c r="K676">
        <v>1.0542205257222199</v>
      </c>
      <c r="L676">
        <v>1417.63043553382</v>
      </c>
      <c r="M676">
        <v>21.0792646737345</v>
      </c>
      <c r="O676">
        <v>66.655895419725297</v>
      </c>
      <c r="P676">
        <v>-1.92936489434097E-3</v>
      </c>
      <c r="Q676">
        <v>0.97559685139827501</v>
      </c>
      <c r="R676">
        <v>-5.3919581990366401E-2</v>
      </c>
      <c r="S676" t="s">
        <v>2002</v>
      </c>
      <c r="T676" t="s">
        <v>2650</v>
      </c>
      <c r="U676" t="s">
        <v>2650</v>
      </c>
      <c r="V676" t="s">
        <v>2650</v>
      </c>
      <c r="W676" t="s">
        <v>3326</v>
      </c>
      <c r="X676">
        <v>1</v>
      </c>
      <c r="Y676" t="s">
        <v>4641</v>
      </c>
      <c r="Z676" t="s">
        <v>5956</v>
      </c>
      <c r="AA676">
        <v>0.99703184633504272</v>
      </c>
      <c r="AB676" t="str">
        <f>HYPERLINK("Melting_Curves/meltCurve_P53801_PTTG1IP.pdf", "Melting_Curves/meltCurve_P53801_PTTG1IP.pdf")</f>
        <v>Melting_Curves/meltCurve_P53801_PTTG1IP.pdf</v>
      </c>
    </row>
    <row r="677" spans="1:28" x14ac:dyDescent="0.25">
      <c r="A677" t="s">
        <v>681</v>
      </c>
      <c r="B677">
        <v>1</v>
      </c>
      <c r="C677">
        <v>0.80774283962511995</v>
      </c>
      <c r="D677">
        <v>1.27424016817027</v>
      </c>
      <c r="E677">
        <v>1.7529123237277699</v>
      </c>
      <c r="F677">
        <v>1.5830778663396701</v>
      </c>
      <c r="G677">
        <v>2.3135674870806699</v>
      </c>
      <c r="H677">
        <v>2.44652710869756</v>
      </c>
      <c r="I677">
        <v>3.0087588683542101</v>
      </c>
      <c r="J677">
        <v>1.9687308399754799</v>
      </c>
      <c r="K677">
        <v>2.6796005956030502</v>
      </c>
      <c r="L677">
        <v>11491.051509598399</v>
      </c>
      <c r="M677">
        <v>250</v>
      </c>
      <c r="O677">
        <v>45.961264781851703</v>
      </c>
      <c r="P677">
        <v>0.679920369585579</v>
      </c>
      <c r="Q677">
        <v>1.5</v>
      </c>
      <c r="R677">
        <v>-0.15078515533470199</v>
      </c>
      <c r="S677" t="s">
        <v>2003</v>
      </c>
      <c r="T677" t="s">
        <v>2650</v>
      </c>
      <c r="U677" t="s">
        <v>2650</v>
      </c>
      <c r="V677" t="s">
        <v>2650</v>
      </c>
      <c r="W677" t="s">
        <v>3327</v>
      </c>
      <c r="X677">
        <v>6</v>
      </c>
      <c r="Y677" t="s">
        <v>4642</v>
      </c>
      <c r="Z677" t="s">
        <v>5957</v>
      </c>
      <c r="AA677">
        <v>1.4005562327936549</v>
      </c>
      <c r="AB677" t="str">
        <f>HYPERLINK("Melting_Curves/meltCurve_P54107_CRISP1.pdf", "Melting_Curves/meltCurve_P54107_CRISP1.pdf")</f>
        <v>Melting_Curves/meltCurve_P54107_CRISP1.pdf</v>
      </c>
    </row>
    <row r="678" spans="1:28" x14ac:dyDescent="0.25">
      <c r="A678" t="s">
        <v>682</v>
      </c>
      <c r="B678">
        <v>1</v>
      </c>
      <c r="C678">
        <v>1.1168621543096999</v>
      </c>
      <c r="D678">
        <v>1.06338103949209</v>
      </c>
      <c r="E678">
        <v>1.07202553893612</v>
      </c>
      <c r="F678">
        <v>1.12493274507694</v>
      </c>
      <c r="G678">
        <v>1.47785071200545</v>
      </c>
      <c r="H678">
        <v>1.10437964058969</v>
      </c>
      <c r="I678">
        <v>1.2557121847985899</v>
      </c>
      <c r="J678">
        <v>0.928333153986872</v>
      </c>
      <c r="K678">
        <v>1.15007711897844</v>
      </c>
      <c r="L678">
        <v>695.68591814564604</v>
      </c>
      <c r="M678">
        <v>15.5288598741241</v>
      </c>
      <c r="O678">
        <v>44.076336066006903</v>
      </c>
      <c r="P678">
        <v>1.46700347435605E-2</v>
      </c>
      <c r="Q678">
        <v>1.1665401158575901</v>
      </c>
      <c r="R678">
        <v>0.116721243175668</v>
      </c>
      <c r="S678" t="s">
        <v>2004</v>
      </c>
      <c r="T678" t="s">
        <v>2650</v>
      </c>
      <c r="U678" t="s">
        <v>2650</v>
      </c>
      <c r="V678" t="s">
        <v>2650</v>
      </c>
      <c r="W678" t="s">
        <v>3328</v>
      </c>
      <c r="X678">
        <v>6</v>
      </c>
      <c r="Y678" t="s">
        <v>4643</v>
      </c>
      <c r="Z678" t="s">
        <v>5958</v>
      </c>
      <c r="AA678">
        <v>1.1348120810103961</v>
      </c>
      <c r="AB678" t="str">
        <f>HYPERLINK("Melting_Curves/meltCurve_P54108_CRISP3.pdf", "Melting_Curves/meltCurve_P54108_CRISP3.pdf")</f>
        <v>Melting_Curves/meltCurve_P54108_CRISP3.pdf</v>
      </c>
    </row>
    <row r="679" spans="1:28" x14ac:dyDescent="0.25">
      <c r="A679" t="s">
        <v>683</v>
      </c>
      <c r="B679">
        <v>1</v>
      </c>
      <c r="C679">
        <v>0.75844802342606199</v>
      </c>
      <c r="D679">
        <v>1.1262371888726199</v>
      </c>
      <c r="E679">
        <v>1.31554904831625</v>
      </c>
      <c r="F679">
        <v>1.0127964860907801</v>
      </c>
      <c r="G679">
        <v>1.0973645680819899</v>
      </c>
      <c r="H679">
        <v>0.94172767203513896</v>
      </c>
      <c r="I679">
        <v>1.11836017569546</v>
      </c>
      <c r="J679">
        <v>0.73364568081991199</v>
      </c>
      <c r="K679">
        <v>1.0249780380673501</v>
      </c>
      <c r="L679">
        <v>2735.55554518401</v>
      </c>
      <c r="M679">
        <v>41.995366414443701</v>
      </c>
      <c r="O679">
        <v>64.9922936567541</v>
      </c>
      <c r="P679">
        <v>-1.46568388744486E-2</v>
      </c>
      <c r="Q679">
        <v>0.909268114310678</v>
      </c>
      <c r="R679">
        <v>4.2280148223837702E-2</v>
      </c>
      <c r="S679" t="s">
        <v>2005</v>
      </c>
      <c r="T679" t="s">
        <v>2650</v>
      </c>
      <c r="U679" t="s">
        <v>2650</v>
      </c>
      <c r="V679" t="s">
        <v>2650</v>
      </c>
      <c r="W679" t="s">
        <v>3329</v>
      </c>
      <c r="X679">
        <v>11</v>
      </c>
      <c r="Y679" t="s">
        <v>4644</v>
      </c>
      <c r="Z679" t="s">
        <v>5959</v>
      </c>
      <c r="AA679">
        <v>0.98536846045264204</v>
      </c>
      <c r="AB679" t="str">
        <f>HYPERLINK("Melting_Curves/meltCurve_P54289_4_CACNA2D1.pdf", "Melting_Curves/meltCurve_P54289_4_CACNA2D1.pdf")</f>
        <v>Melting_Curves/meltCurve_P54289_4_CACNA2D1.pdf</v>
      </c>
    </row>
    <row r="680" spans="1:28" x14ac:dyDescent="0.25">
      <c r="A680" t="s">
        <v>684</v>
      </c>
      <c r="B680">
        <v>1</v>
      </c>
      <c r="C680">
        <v>0.80379985542320098</v>
      </c>
      <c r="D680">
        <v>1.14617971524657</v>
      </c>
      <c r="E680">
        <v>1.3133702108935501</v>
      </c>
      <c r="F680">
        <v>1.14943269321432</v>
      </c>
      <c r="G680">
        <v>1.1428795926705799</v>
      </c>
      <c r="H680">
        <v>1.0294182355344601</v>
      </c>
      <c r="I680">
        <v>1.3026526699563099</v>
      </c>
      <c r="J680">
        <v>0.81129584813150202</v>
      </c>
      <c r="K680">
        <v>1.11003551560487</v>
      </c>
      <c r="L680">
        <v>11150.6231426629</v>
      </c>
      <c r="M680">
        <v>250</v>
      </c>
      <c r="O680">
        <v>44.599638320141302</v>
      </c>
      <c r="P680">
        <v>0.17609932338540299</v>
      </c>
      <c r="Q680">
        <v>1.1256634579181599</v>
      </c>
      <c r="R680">
        <v>0.220868086236789</v>
      </c>
      <c r="S680" t="s">
        <v>2006</v>
      </c>
      <c r="T680" t="s">
        <v>2650</v>
      </c>
      <c r="U680" t="s">
        <v>2650</v>
      </c>
      <c r="V680" t="s">
        <v>2650</v>
      </c>
      <c r="W680" t="s">
        <v>3330</v>
      </c>
      <c r="X680">
        <v>4</v>
      </c>
      <c r="Y680" t="s">
        <v>4645</v>
      </c>
      <c r="Z680" t="s">
        <v>5960</v>
      </c>
      <c r="AA680">
        <v>1.1063747836841491</v>
      </c>
      <c r="AB680" t="str">
        <f>HYPERLINK("Melting_Curves/meltCurve_P54578_2_USP14.pdf", "Melting_Curves/meltCurve_P54578_2_USP14.pdf")</f>
        <v>Melting_Curves/meltCurve_P54578_2_USP14.pdf</v>
      </c>
    </row>
    <row r="681" spans="1:28" x14ac:dyDescent="0.25">
      <c r="A681" t="s">
        <v>685</v>
      </c>
      <c r="B681">
        <v>1</v>
      </c>
      <c r="C681">
        <v>0.78126236644242197</v>
      </c>
      <c r="D681">
        <v>1.14681440443213</v>
      </c>
      <c r="E681">
        <v>1.27453502176494</v>
      </c>
      <c r="F681">
        <v>1.06803192191004</v>
      </c>
      <c r="G681">
        <v>1.0181374488853701</v>
      </c>
      <c r="H681">
        <v>1.0231499802136901</v>
      </c>
      <c r="I681">
        <v>1.15017807677087</v>
      </c>
      <c r="J681">
        <v>0.68477113837224601</v>
      </c>
      <c r="K681">
        <v>0.94601635668117701</v>
      </c>
      <c r="L681">
        <v>15000</v>
      </c>
      <c r="M681">
        <v>229.058861699337</v>
      </c>
      <c r="O681">
        <v>65.480359412570095</v>
      </c>
      <c r="P681">
        <v>-0.161250030701964</v>
      </c>
      <c r="Q681">
        <v>0.81561577899107096</v>
      </c>
      <c r="R681">
        <v>0.24341259210991301</v>
      </c>
      <c r="S681" t="s">
        <v>2007</v>
      </c>
      <c r="T681" t="s">
        <v>2650</v>
      </c>
      <c r="U681" t="s">
        <v>2650</v>
      </c>
      <c r="V681" t="s">
        <v>2650</v>
      </c>
      <c r="W681" t="s">
        <v>3331</v>
      </c>
      <c r="X681">
        <v>4</v>
      </c>
      <c r="Y681" t="s">
        <v>4646</v>
      </c>
      <c r="Z681" t="s">
        <v>5961</v>
      </c>
      <c r="AA681">
        <v>0.97227757563787798</v>
      </c>
      <c r="AB681" t="str">
        <f>HYPERLINK("Melting_Curves/meltCurve_P54725_2_RAD23A.pdf", "Melting_Curves/meltCurve_P54725_2_RAD23A.pdf")</f>
        <v>Melting_Curves/meltCurve_P54725_2_RAD23A.pdf</v>
      </c>
    </row>
    <row r="682" spans="1:28" x14ac:dyDescent="0.25">
      <c r="A682" t="s">
        <v>686</v>
      </c>
      <c r="B682">
        <v>1</v>
      </c>
      <c r="C682">
        <v>1.1404976000335401</v>
      </c>
      <c r="D682">
        <v>1.2504978096375901</v>
      </c>
      <c r="E682">
        <v>1.2274204028589999</v>
      </c>
      <c r="F682">
        <v>1.28296547821166</v>
      </c>
      <c r="G682">
        <v>1.42782284265023</v>
      </c>
      <c r="H682">
        <v>1.1918715546333001</v>
      </c>
      <c r="I682">
        <v>1.29174788823912</v>
      </c>
      <c r="J682">
        <v>1.02982665744409</v>
      </c>
      <c r="K682">
        <v>1.2574985851726099</v>
      </c>
      <c r="L682">
        <v>10712.2845407103</v>
      </c>
      <c r="M682">
        <v>250</v>
      </c>
      <c r="O682">
        <v>42.846388837203101</v>
      </c>
      <c r="P682">
        <v>0.35731768867395902</v>
      </c>
      <c r="Q682">
        <v>1.2449564033952001</v>
      </c>
      <c r="R682">
        <v>0.40382644522156702</v>
      </c>
      <c r="S682" t="s">
        <v>2008</v>
      </c>
      <c r="T682" t="s">
        <v>2650</v>
      </c>
      <c r="U682" t="s">
        <v>2650</v>
      </c>
      <c r="V682" t="s">
        <v>2650</v>
      </c>
      <c r="W682" t="s">
        <v>3332</v>
      </c>
      <c r="X682">
        <v>4</v>
      </c>
      <c r="Y682" t="s">
        <v>4647</v>
      </c>
      <c r="Z682" t="s">
        <v>5962</v>
      </c>
      <c r="AA682">
        <v>1.221674161518304</v>
      </c>
      <c r="AB682" t="str">
        <f>HYPERLINK("Melting_Curves/meltCurve_P54727_RAD23B.pdf", "Melting_Curves/meltCurve_P54727_RAD23B.pdf")</f>
        <v>Melting_Curves/meltCurve_P54727_RAD23B.pdf</v>
      </c>
    </row>
    <row r="683" spans="1:28" x14ac:dyDescent="0.25">
      <c r="A683" t="s">
        <v>687</v>
      </c>
      <c r="B683">
        <v>1</v>
      </c>
      <c r="C683">
        <v>0.79590129652864905</v>
      </c>
      <c r="D683">
        <v>1.35900250941029</v>
      </c>
      <c r="E683">
        <v>1.7904119615223799</v>
      </c>
      <c r="F683">
        <v>1.6123483897950599</v>
      </c>
      <c r="G683">
        <v>1.8103304056880001</v>
      </c>
      <c r="H683">
        <v>1.9086679213718101</v>
      </c>
      <c r="I683">
        <v>2.2953785027185298</v>
      </c>
      <c r="J683">
        <v>1.27796946884149</v>
      </c>
      <c r="K683">
        <v>1.89768925135926</v>
      </c>
      <c r="L683">
        <v>11457.0090033951</v>
      </c>
      <c r="M683">
        <v>250</v>
      </c>
      <c r="O683">
        <v>45.825103248460103</v>
      </c>
      <c r="P683">
        <v>0.68194063450752895</v>
      </c>
      <c r="Q683">
        <v>1.5</v>
      </c>
      <c r="R683">
        <v>0.34976081708489698</v>
      </c>
      <c r="S683" t="s">
        <v>2009</v>
      </c>
      <c r="T683" t="s">
        <v>2650</v>
      </c>
      <c r="U683" t="s">
        <v>2650</v>
      </c>
      <c r="V683" t="s">
        <v>2650</v>
      </c>
      <c r="W683" t="s">
        <v>3333</v>
      </c>
      <c r="X683">
        <v>2</v>
      </c>
      <c r="Y683" t="s">
        <v>4648</v>
      </c>
      <c r="Z683" t="s">
        <v>5963</v>
      </c>
      <c r="AA683">
        <v>1.4028258526953461</v>
      </c>
      <c r="AB683" t="str">
        <f>HYPERLINK("Melting_Curves/meltCurve_P54756_2_EPHA5.pdf", "Melting_Curves/meltCurve_P54756_2_EPHA5.pdf")</f>
        <v>Melting_Curves/meltCurve_P54756_2_EPHA5.pdf</v>
      </c>
    </row>
    <row r="684" spans="1:28" x14ac:dyDescent="0.25">
      <c r="A684" t="s">
        <v>688</v>
      </c>
      <c r="B684">
        <v>1</v>
      </c>
      <c r="C684">
        <v>0.78710950345281205</v>
      </c>
      <c r="D684">
        <v>1.1458073002301901</v>
      </c>
      <c r="E684">
        <v>1.4504439329168</v>
      </c>
      <c r="F684">
        <v>1.2518250575468599</v>
      </c>
      <c r="G684">
        <v>1.4989805984873401</v>
      </c>
      <c r="H684">
        <v>1.4242683327852701</v>
      </c>
      <c r="I684">
        <v>1.6221637619204201</v>
      </c>
      <c r="J684">
        <v>1.04768168365669</v>
      </c>
      <c r="K684">
        <v>1.4560999671160799</v>
      </c>
      <c r="L684">
        <v>11524.2949055189</v>
      </c>
      <c r="M684">
        <v>250</v>
      </c>
      <c r="O684">
        <v>46.094229416947101</v>
      </c>
      <c r="P684">
        <v>0.53296556064804002</v>
      </c>
      <c r="Q684">
        <v>1.39306619120582</v>
      </c>
      <c r="R684">
        <v>0.59838454343509195</v>
      </c>
      <c r="S684" t="s">
        <v>2010</v>
      </c>
      <c r="T684" t="s">
        <v>2650</v>
      </c>
      <c r="U684" t="s">
        <v>2650</v>
      </c>
      <c r="V684" t="s">
        <v>2650</v>
      </c>
      <c r="W684" t="s">
        <v>3334</v>
      </c>
      <c r="X684">
        <v>2</v>
      </c>
      <c r="Y684" t="s">
        <v>4649</v>
      </c>
      <c r="Z684" t="s">
        <v>5964</v>
      </c>
      <c r="AA684">
        <v>1.3131478865117701</v>
      </c>
      <c r="AB684" t="str">
        <f>HYPERLINK("Melting_Curves/meltCurve_P54760_4_EPHB4.pdf", "Melting_Curves/meltCurve_P54760_4_EPHB4.pdf")</f>
        <v>Melting_Curves/meltCurve_P54760_4_EPHB4.pdf</v>
      </c>
    </row>
    <row r="685" spans="1:28" x14ac:dyDescent="0.25">
      <c r="A685" t="s">
        <v>689</v>
      </c>
      <c r="B685">
        <v>1</v>
      </c>
      <c r="C685">
        <v>0.91036291122226398</v>
      </c>
      <c r="D685">
        <v>1.5230372606482601</v>
      </c>
      <c r="E685">
        <v>2.01363946852346</v>
      </c>
      <c r="F685">
        <v>1.5714033889341801</v>
      </c>
      <c r="G685">
        <v>1.96251900491373</v>
      </c>
      <c r="H685">
        <v>2.0882268690919501</v>
      </c>
      <c r="I685">
        <v>3.14721371438644</v>
      </c>
      <c r="J685">
        <v>2.1172024766983202</v>
      </c>
      <c r="K685">
        <v>3.1663838882400901</v>
      </c>
      <c r="L685">
        <v>11130.4841237725</v>
      </c>
      <c r="M685">
        <v>250</v>
      </c>
      <c r="O685">
        <v>44.5191025409408</v>
      </c>
      <c r="P685">
        <v>0.70194610479840802</v>
      </c>
      <c r="Q685">
        <v>1.5</v>
      </c>
      <c r="R685">
        <v>-0.272202624557286</v>
      </c>
      <c r="S685" t="s">
        <v>2011</v>
      </c>
      <c r="T685" t="s">
        <v>2650</v>
      </c>
      <c r="U685" t="s">
        <v>2650</v>
      </c>
      <c r="V685" t="s">
        <v>2650</v>
      </c>
      <c r="W685" t="s">
        <v>3335</v>
      </c>
      <c r="X685">
        <v>1</v>
      </c>
      <c r="Y685" t="s">
        <v>4650</v>
      </c>
      <c r="Z685" t="s">
        <v>5965</v>
      </c>
      <c r="AA685">
        <v>1.424595324095681</v>
      </c>
      <c r="AB685" t="str">
        <f>HYPERLINK("Melting_Curves/meltCurve_P54802_NAGLU.pdf", "Melting_Curves/meltCurve_P54802_NAGLU.pdf")</f>
        <v>Melting_Curves/meltCurve_P54802_NAGLU.pdf</v>
      </c>
    </row>
    <row r="686" spans="1:28" x14ac:dyDescent="0.25">
      <c r="A686" t="s">
        <v>690</v>
      </c>
      <c r="B686">
        <v>1</v>
      </c>
      <c r="C686">
        <v>0.78863497660541104</v>
      </c>
      <c r="D686">
        <v>1.3106168486245799</v>
      </c>
      <c r="E686">
        <v>1.7984222779774399</v>
      </c>
      <c r="F686">
        <v>1.65129630885378</v>
      </c>
      <c r="G686">
        <v>1.5776542121561401</v>
      </c>
      <c r="H686">
        <v>1.4322687100201199</v>
      </c>
      <c r="I686">
        <v>1.8241450238466601</v>
      </c>
      <c r="J686">
        <v>1.28014737460726</v>
      </c>
      <c r="K686">
        <v>1.6222734567482699</v>
      </c>
      <c r="L686">
        <v>11477.2397635085</v>
      </c>
      <c r="M686">
        <v>250</v>
      </c>
      <c r="O686">
        <v>45.9060215956574</v>
      </c>
      <c r="P686">
        <v>0.68073858787597696</v>
      </c>
      <c r="Q686">
        <v>1.5</v>
      </c>
      <c r="R686">
        <v>0.67473809914915495</v>
      </c>
      <c r="S686" t="s">
        <v>2012</v>
      </c>
      <c r="T686" t="s">
        <v>2650</v>
      </c>
      <c r="U686" t="s">
        <v>2650</v>
      </c>
      <c r="V686" t="s">
        <v>2650</v>
      </c>
      <c r="W686" t="s">
        <v>3336</v>
      </c>
      <c r="X686">
        <v>1</v>
      </c>
      <c r="Y686" t="s">
        <v>4651</v>
      </c>
      <c r="Z686" t="s">
        <v>5966</v>
      </c>
      <c r="AA686">
        <v>1.401477064345118</v>
      </c>
      <c r="AB686" t="str">
        <f>HYPERLINK("Melting_Curves/meltCurve_P54819_3_AK2.pdf", "Melting_Curves/meltCurve_P54819_3_AK2.pdf")</f>
        <v>Melting_Curves/meltCurve_P54819_3_AK2.pdf</v>
      </c>
    </row>
    <row r="687" spans="1:28" x14ac:dyDescent="0.25">
      <c r="A687" t="s">
        <v>691</v>
      </c>
      <c r="B687">
        <v>1</v>
      </c>
      <c r="C687">
        <v>0.79669362039884895</v>
      </c>
      <c r="D687">
        <v>1.08190296656414</v>
      </c>
      <c r="E687">
        <v>1.24032642127195</v>
      </c>
      <c r="F687">
        <v>1.04683004266296</v>
      </c>
      <c r="G687">
        <v>1.0193719615041199</v>
      </c>
      <c r="H687">
        <v>0.92819228098025597</v>
      </c>
      <c r="I687">
        <v>1.01074015279294</v>
      </c>
      <c r="J687">
        <v>0.72646095842841596</v>
      </c>
      <c r="K687">
        <v>0.92914723682905098</v>
      </c>
      <c r="L687">
        <v>15000</v>
      </c>
      <c r="M687">
        <v>230.159769464063</v>
      </c>
      <c r="O687">
        <v>65.167199171304802</v>
      </c>
      <c r="P687">
        <v>-0.15201500251793801</v>
      </c>
      <c r="Q687">
        <v>0.82783451815075704</v>
      </c>
      <c r="R687">
        <v>0.28798898292323499</v>
      </c>
      <c r="S687" t="s">
        <v>2013</v>
      </c>
      <c r="T687" t="s">
        <v>2650</v>
      </c>
      <c r="U687" t="s">
        <v>2650</v>
      </c>
      <c r="V687" t="s">
        <v>2650</v>
      </c>
      <c r="W687" t="s">
        <v>3337</v>
      </c>
      <c r="X687">
        <v>2</v>
      </c>
      <c r="Y687" t="s">
        <v>4652</v>
      </c>
      <c r="Z687" t="s">
        <v>5967</v>
      </c>
      <c r="AA687">
        <v>0.9723167544509177</v>
      </c>
      <c r="AB687" t="str">
        <f>HYPERLINK("Melting_Curves/meltCurve_P54826_GAS1.pdf", "Melting_Curves/meltCurve_P54826_GAS1.pdf")</f>
        <v>Melting_Curves/meltCurve_P54826_GAS1.pdf</v>
      </c>
    </row>
    <row r="688" spans="1:28" x14ac:dyDescent="0.25">
      <c r="A688" t="s">
        <v>692</v>
      </c>
      <c r="B688">
        <v>1</v>
      </c>
      <c r="C688">
        <v>0.85251997784634903</v>
      </c>
      <c r="D688">
        <v>0.96218055225888099</v>
      </c>
      <c r="E688">
        <v>1.2009652662394199</v>
      </c>
      <c r="F688">
        <v>1.06606535327162</v>
      </c>
      <c r="G688">
        <v>1.0579950945486201</v>
      </c>
      <c r="H688">
        <v>1.07674657805206</v>
      </c>
      <c r="I688">
        <v>1.2875227470527699</v>
      </c>
      <c r="J688">
        <v>0.71046760028483302</v>
      </c>
      <c r="K688">
        <v>1.00822849909012</v>
      </c>
      <c r="L688">
        <v>1678.9367745638499</v>
      </c>
      <c r="M688">
        <v>24.565053383971598</v>
      </c>
      <c r="O688">
        <v>67.898438820533002</v>
      </c>
      <c r="P688">
        <v>-8.1204750794480404E-3</v>
      </c>
      <c r="Q688">
        <v>0.91022046901752796</v>
      </c>
      <c r="R688">
        <v>5.9509966660176205E-4</v>
      </c>
      <c r="S688" t="s">
        <v>2014</v>
      </c>
      <c r="T688" t="s">
        <v>2650</v>
      </c>
      <c r="U688" t="s">
        <v>2650</v>
      </c>
      <c r="V688" t="s">
        <v>2650</v>
      </c>
      <c r="W688" t="s">
        <v>3338</v>
      </c>
      <c r="X688">
        <v>1</v>
      </c>
      <c r="Y688" t="s">
        <v>4653</v>
      </c>
      <c r="Z688" t="s">
        <v>5968</v>
      </c>
      <c r="AA688">
        <v>0.99189129106046037</v>
      </c>
      <c r="AB688" t="str">
        <f>HYPERLINK("Melting_Curves/meltCurve_P54920_NAPA.pdf", "Melting_Curves/meltCurve_P54920_NAPA.pdf")</f>
        <v>Melting_Curves/meltCurve_P54920_NAPA.pdf</v>
      </c>
    </row>
    <row r="689" spans="1:28" x14ac:dyDescent="0.25">
      <c r="A689" t="s">
        <v>693</v>
      </c>
      <c r="B689">
        <v>1</v>
      </c>
      <c r="C689">
        <v>0.71187555806193903</v>
      </c>
      <c r="D689">
        <v>1.1000516941585601</v>
      </c>
      <c r="E689">
        <v>1.34545796325015</v>
      </c>
      <c r="F689">
        <v>0.94365336716950998</v>
      </c>
      <c r="G689">
        <v>0.99694534517599498</v>
      </c>
      <c r="H689">
        <v>0.91775929319986804</v>
      </c>
      <c r="I689">
        <v>1.2026411015555201</v>
      </c>
      <c r="J689">
        <v>0.57512101132572002</v>
      </c>
      <c r="K689">
        <v>0.96724470134874796</v>
      </c>
      <c r="L689">
        <v>3570.3670239647599</v>
      </c>
      <c r="M689">
        <v>54.516881745442703</v>
      </c>
      <c r="O689">
        <v>65.4030933141226</v>
      </c>
      <c r="P689">
        <v>-4.2835688641837198E-2</v>
      </c>
      <c r="Q689">
        <v>0.79444277299091004</v>
      </c>
      <c r="R689">
        <v>0.13119253481426599</v>
      </c>
      <c r="S689" t="s">
        <v>2015</v>
      </c>
      <c r="T689" t="s">
        <v>2650</v>
      </c>
      <c r="U689" t="s">
        <v>2650</v>
      </c>
      <c r="V689" t="s">
        <v>2650</v>
      </c>
      <c r="W689" t="s">
        <v>3339</v>
      </c>
      <c r="X689">
        <v>1</v>
      </c>
      <c r="Y689" t="s">
        <v>4654</v>
      </c>
      <c r="Z689" t="s">
        <v>5969</v>
      </c>
      <c r="AA689">
        <v>0.96931584473469157</v>
      </c>
      <c r="AB689" t="str">
        <f>HYPERLINK("Melting_Curves/meltCurve_P55036_2_PSMD4.pdf", "Melting_Curves/meltCurve_P55036_2_PSMD4.pdf")</f>
        <v>Melting_Curves/meltCurve_P55036_2_PSMD4.pdf</v>
      </c>
    </row>
    <row r="690" spans="1:28" x14ac:dyDescent="0.25">
      <c r="A690" t="s">
        <v>694</v>
      </c>
      <c r="B690">
        <v>1</v>
      </c>
      <c r="C690">
        <v>1.05469243093654</v>
      </c>
      <c r="D690">
        <v>1.31844443365539</v>
      </c>
      <c r="E690">
        <v>1.63346603874351</v>
      </c>
      <c r="F690">
        <v>1.28603680147594</v>
      </c>
      <c r="G690">
        <v>1.4373937952128999</v>
      </c>
      <c r="H690">
        <v>1.30788464339467</v>
      </c>
      <c r="I690">
        <v>1.5916152837791899</v>
      </c>
      <c r="J690">
        <v>1.11360877797738</v>
      </c>
      <c r="K690">
        <v>1.4684177307374899</v>
      </c>
      <c r="L690">
        <v>2289.38227434383</v>
      </c>
      <c r="M690">
        <v>51.2802108479599</v>
      </c>
      <c r="O690">
        <v>44.576824270827402</v>
      </c>
      <c r="P690">
        <v>0.116268910633649</v>
      </c>
      <c r="Q690">
        <v>1.4042802566594701</v>
      </c>
      <c r="R690">
        <v>0.52513063269391602</v>
      </c>
      <c r="S690" t="s">
        <v>2016</v>
      </c>
      <c r="T690" t="s">
        <v>2650</v>
      </c>
      <c r="U690" t="s">
        <v>2650</v>
      </c>
      <c r="V690" t="s">
        <v>2650</v>
      </c>
      <c r="W690" t="s">
        <v>3340</v>
      </c>
      <c r="X690">
        <v>2</v>
      </c>
      <c r="Y690" t="s">
        <v>4655</v>
      </c>
      <c r="Z690" t="s">
        <v>5970</v>
      </c>
      <c r="AA690">
        <v>1.340909900309561</v>
      </c>
      <c r="AB690" t="str">
        <f>HYPERLINK("Melting_Curves/meltCurve_P55058_3_PLTP.pdf", "Melting_Curves/meltCurve_P55058_3_PLTP.pdf")</f>
        <v>Melting_Curves/meltCurve_P55058_3_PLTP.pdf</v>
      </c>
    </row>
    <row r="691" spans="1:28" x14ac:dyDescent="0.25">
      <c r="A691" t="s">
        <v>695</v>
      </c>
      <c r="B691">
        <v>1</v>
      </c>
      <c r="C691">
        <v>0.77271957134083102</v>
      </c>
      <c r="D691">
        <v>1.18241311392083</v>
      </c>
      <c r="E691">
        <v>1.3844589872291799</v>
      </c>
      <c r="F691">
        <v>1.2086748416883799</v>
      </c>
      <c r="G691">
        <v>1.3385009636359799</v>
      </c>
      <c r="H691">
        <v>1.1815659614122</v>
      </c>
      <c r="I691">
        <v>1.53705233284622</v>
      </c>
      <c r="J691">
        <v>0.82918228604104405</v>
      </c>
      <c r="K691">
        <v>1.19872079971197</v>
      </c>
      <c r="L691">
        <v>11446.7521469572</v>
      </c>
      <c r="M691">
        <v>250</v>
      </c>
      <c r="O691">
        <v>45.784078356075398</v>
      </c>
      <c r="P691">
        <v>0.32726524396322998</v>
      </c>
      <c r="Q691">
        <v>1.23973660175831</v>
      </c>
      <c r="R691">
        <v>0.328351573162042</v>
      </c>
      <c r="S691" t="s">
        <v>2017</v>
      </c>
      <c r="T691" t="s">
        <v>2650</v>
      </c>
      <c r="U691" t="s">
        <v>2650</v>
      </c>
      <c r="V691" t="s">
        <v>2650</v>
      </c>
      <c r="W691" t="s">
        <v>3341</v>
      </c>
      <c r="X691">
        <v>5</v>
      </c>
      <c r="Y691" t="s">
        <v>4656</v>
      </c>
      <c r="Z691" t="s">
        <v>5971</v>
      </c>
      <c r="AA691">
        <v>1.193472078500402</v>
      </c>
      <c r="AB691" t="str">
        <f>HYPERLINK("Melting_Curves/meltCurve_P55072_VCP.pdf", "Melting_Curves/meltCurve_P55072_VCP.pdf")</f>
        <v>Melting_Curves/meltCurve_P55072_VCP.pdf</v>
      </c>
    </row>
    <row r="692" spans="1:28" x14ac:dyDescent="0.25">
      <c r="A692" t="s">
        <v>696</v>
      </c>
      <c r="B692">
        <v>1</v>
      </c>
      <c r="C692">
        <v>0.79119437154503303</v>
      </c>
      <c r="D692">
        <v>1.18606566530795</v>
      </c>
      <c r="E692">
        <v>1.3422860014517799</v>
      </c>
      <c r="F692">
        <v>1.0491791836506801</v>
      </c>
      <c r="G692">
        <v>0.991163660729242</v>
      </c>
      <c r="H692">
        <v>0.96743257579987696</v>
      </c>
      <c r="I692">
        <v>1.1639817968619099</v>
      </c>
      <c r="J692">
        <v>0.71840973812049802</v>
      </c>
      <c r="K692">
        <v>0.96229549388575597</v>
      </c>
      <c r="L692">
        <v>4268.9156212589296</v>
      </c>
      <c r="M692">
        <v>65.057392025628999</v>
      </c>
      <c r="O692">
        <v>65.555772710208501</v>
      </c>
      <c r="P692">
        <v>-3.57612746128615E-2</v>
      </c>
      <c r="Q692">
        <v>0.85585913165296601</v>
      </c>
      <c r="R692">
        <v>0.10150129921925501</v>
      </c>
      <c r="S692" t="s">
        <v>2018</v>
      </c>
      <c r="T692" t="s">
        <v>2650</v>
      </c>
      <c r="U692" t="s">
        <v>2650</v>
      </c>
      <c r="V692" t="s">
        <v>2650</v>
      </c>
      <c r="W692" t="s">
        <v>3342</v>
      </c>
      <c r="X692">
        <v>3</v>
      </c>
      <c r="Y692" t="s">
        <v>4657</v>
      </c>
      <c r="Z692" t="s">
        <v>5972</v>
      </c>
      <c r="AA692">
        <v>0.97909383964013708</v>
      </c>
      <c r="AB692" t="str">
        <f>HYPERLINK("Melting_Curves/meltCurve_P55145_MANF.pdf", "Melting_Curves/meltCurve_P55145_MANF.pdf")</f>
        <v>Melting_Curves/meltCurve_P55145_MANF.pdf</v>
      </c>
    </row>
    <row r="693" spans="1:28" x14ac:dyDescent="0.25">
      <c r="A693" t="s">
        <v>697</v>
      </c>
      <c r="B693">
        <v>1</v>
      </c>
      <c r="C693">
        <v>0.65444893190073405</v>
      </c>
      <c r="D693">
        <v>1.1222535497472601</v>
      </c>
      <c r="E693">
        <v>1.16749218928599</v>
      </c>
      <c r="F693">
        <v>0.98331174274175104</v>
      </c>
      <c r="G693">
        <v>1.1235743859381699</v>
      </c>
      <c r="H693">
        <v>1.1259874520561901</v>
      </c>
      <c r="I693">
        <v>1.00411491274861</v>
      </c>
      <c r="J693">
        <v>0.821280703091265</v>
      </c>
      <c r="K693">
        <v>1.0484899286240399</v>
      </c>
      <c r="L693">
        <v>1200.50573163184</v>
      </c>
      <c r="M693">
        <v>17.807848516567599</v>
      </c>
      <c r="O693">
        <v>66.581537205722</v>
      </c>
      <c r="P693">
        <v>-2.5508909116278098E-3</v>
      </c>
      <c r="Q693">
        <v>0.96185199006427602</v>
      </c>
      <c r="R693">
        <v>4.0027965316540301E-3</v>
      </c>
      <c r="S693" t="s">
        <v>2019</v>
      </c>
      <c r="T693" t="s">
        <v>2650</v>
      </c>
      <c r="U693" t="s">
        <v>2650</v>
      </c>
      <c r="V693" t="s">
        <v>2650</v>
      </c>
      <c r="W693" t="s">
        <v>3343</v>
      </c>
      <c r="X693">
        <v>1</v>
      </c>
      <c r="Y693" t="s">
        <v>4658</v>
      </c>
      <c r="Z693" t="s">
        <v>5973</v>
      </c>
      <c r="AA693">
        <v>0.99512823776796744</v>
      </c>
      <c r="AB693" t="str">
        <f>HYPERLINK("Melting_Curves/meltCurve_P55209_3_NAP1L1.pdf", "Melting_Curves/meltCurve_P55209_3_NAP1L1.pdf")</f>
        <v>Melting_Curves/meltCurve_P55209_3_NAP1L1.pdf</v>
      </c>
    </row>
    <row r="694" spans="1:28" x14ac:dyDescent="0.25">
      <c r="A694" t="s">
        <v>698</v>
      </c>
      <c r="B694">
        <v>1</v>
      </c>
      <c r="C694">
        <v>0.76631484208803802</v>
      </c>
      <c r="D694">
        <v>1.0477008672885</v>
      </c>
      <c r="E694">
        <v>1.21166748486336</v>
      </c>
      <c r="F694">
        <v>0.84699721813123896</v>
      </c>
      <c r="G694">
        <v>0.95213549337260694</v>
      </c>
      <c r="H694">
        <v>0.81298478154148301</v>
      </c>
      <c r="I694">
        <v>0.88839797087219796</v>
      </c>
      <c r="J694">
        <v>0.62533136966126701</v>
      </c>
      <c r="K694">
        <v>0.86164293896252697</v>
      </c>
      <c r="L694">
        <v>1260.38897582502</v>
      </c>
      <c r="M694">
        <v>21.482853632555202</v>
      </c>
      <c r="O694">
        <v>58.1682674920037</v>
      </c>
      <c r="P694">
        <v>-2.1484050934662401E-2</v>
      </c>
      <c r="Q694">
        <v>0.76731969877697004</v>
      </c>
      <c r="R694">
        <v>0.31146086649211002</v>
      </c>
      <c r="S694" t="s">
        <v>2020</v>
      </c>
      <c r="T694" t="s">
        <v>2650</v>
      </c>
      <c r="U694" t="s">
        <v>2650</v>
      </c>
      <c r="V694" t="s">
        <v>2650</v>
      </c>
      <c r="W694" t="s">
        <v>3344</v>
      </c>
      <c r="X694">
        <v>5</v>
      </c>
      <c r="Y694" t="s">
        <v>4659</v>
      </c>
      <c r="Z694" t="s">
        <v>5974</v>
      </c>
      <c r="AA694">
        <v>0.91442693840015776</v>
      </c>
      <c r="AB694" t="str">
        <f>HYPERLINK("Melting_Curves/meltCurve_P55259_3_GP2.pdf", "Melting_Curves/meltCurve_P55259_3_GP2.pdf")</f>
        <v>Melting_Curves/meltCurve_P55259_3_GP2.pdf</v>
      </c>
    </row>
    <row r="695" spans="1:28" x14ac:dyDescent="0.25">
      <c r="A695" t="s">
        <v>699</v>
      </c>
      <c r="B695">
        <v>1</v>
      </c>
      <c r="C695">
        <v>0.77103068005089803</v>
      </c>
      <c r="D695">
        <v>1.1177482444978599</v>
      </c>
      <c r="E695">
        <v>1.28542815401291</v>
      </c>
      <c r="F695">
        <v>1.34700032989302</v>
      </c>
      <c r="G695">
        <v>1.9172675432395501</v>
      </c>
      <c r="H695">
        <v>1.7156557801969901</v>
      </c>
      <c r="I695">
        <v>2.0942315849003301</v>
      </c>
      <c r="J695">
        <v>1.3949055092134399</v>
      </c>
      <c r="K695">
        <v>1.8527970215373</v>
      </c>
      <c r="L695">
        <v>1653.8162140125601</v>
      </c>
      <c r="M695">
        <v>33.386632076568198</v>
      </c>
      <c r="O695">
        <v>49.358579588001</v>
      </c>
      <c r="P695">
        <v>8.4551598580318202E-2</v>
      </c>
      <c r="Q695">
        <v>1.5</v>
      </c>
      <c r="R695">
        <v>0.53227396685787098</v>
      </c>
      <c r="S695" t="s">
        <v>2021</v>
      </c>
      <c r="T695" t="s">
        <v>2650</v>
      </c>
      <c r="U695" t="s">
        <v>2650</v>
      </c>
      <c r="V695" t="s">
        <v>2650</v>
      </c>
      <c r="W695" t="s">
        <v>3345</v>
      </c>
      <c r="X695">
        <v>32</v>
      </c>
      <c r="Y695" t="s">
        <v>4660</v>
      </c>
      <c r="Z695" t="s">
        <v>5975</v>
      </c>
      <c r="AA695">
        <v>1.338608621310859</v>
      </c>
      <c r="AB695" t="str">
        <f>HYPERLINK("Melting_Curves/meltCurve_P55268_LAMB2.pdf", "Melting_Curves/meltCurve_P55268_LAMB2.pdf")</f>
        <v>Melting_Curves/meltCurve_P55268_LAMB2.pdf</v>
      </c>
    </row>
    <row r="696" spans="1:28" x14ac:dyDescent="0.25">
      <c r="A696" t="s">
        <v>700</v>
      </c>
      <c r="B696">
        <v>1</v>
      </c>
      <c r="C696">
        <v>0.80653519504822202</v>
      </c>
      <c r="D696">
        <v>1.1355980998992401</v>
      </c>
      <c r="E696">
        <v>1.31977832157766</v>
      </c>
      <c r="F696">
        <v>1.02295955088527</v>
      </c>
      <c r="G696">
        <v>1.0603138045199401</v>
      </c>
      <c r="H696">
        <v>1.0082769540809</v>
      </c>
      <c r="I696">
        <v>1.0873038721750401</v>
      </c>
      <c r="J696">
        <v>0.69985605297250597</v>
      </c>
      <c r="K696">
        <v>0.99438606592773904</v>
      </c>
      <c r="L696">
        <v>15000</v>
      </c>
      <c r="M696">
        <v>229.389164106854</v>
      </c>
      <c r="O696">
        <v>65.386093365224198</v>
      </c>
      <c r="P696">
        <v>-0.13382836555344399</v>
      </c>
      <c r="Q696">
        <v>0.84741191774662705</v>
      </c>
      <c r="R696">
        <v>0.17255179203255899</v>
      </c>
      <c r="S696" t="s">
        <v>2022</v>
      </c>
      <c r="T696" t="s">
        <v>2650</v>
      </c>
      <c r="U696" t="s">
        <v>2650</v>
      </c>
      <c r="V696" t="s">
        <v>2650</v>
      </c>
      <c r="W696" t="s">
        <v>3346</v>
      </c>
      <c r="X696">
        <v>4</v>
      </c>
      <c r="Y696" t="s">
        <v>4661</v>
      </c>
      <c r="Z696" t="s">
        <v>5976</v>
      </c>
      <c r="AA696">
        <v>0.97657847590731695</v>
      </c>
      <c r="AB696" t="str">
        <f>HYPERLINK("Melting_Curves/meltCurve_P55327_2_TPD52.pdf", "Melting_Curves/meltCurve_P55327_2_TPD52.pdf")</f>
        <v>Melting_Curves/meltCurve_P55327_2_TPD52.pdf</v>
      </c>
    </row>
    <row r="697" spans="1:28" x14ac:dyDescent="0.25">
      <c r="A697" t="s">
        <v>701</v>
      </c>
      <c r="B697">
        <v>1</v>
      </c>
      <c r="C697">
        <v>0.835298395055316</v>
      </c>
      <c r="D697">
        <v>1.14818469848855</v>
      </c>
      <c r="E697">
        <v>1.48285981405495</v>
      </c>
      <c r="F697">
        <v>1.1896587544798201</v>
      </c>
      <c r="G697">
        <v>1.3090687165636501</v>
      </c>
      <c r="H697">
        <v>1.19537214979484</v>
      </c>
      <c r="I697">
        <v>1.6318236119046401</v>
      </c>
      <c r="J697">
        <v>1.0646652469744999</v>
      </c>
      <c r="K697">
        <v>1.41341609099881</v>
      </c>
      <c r="L697">
        <v>11508.564576643999</v>
      </c>
      <c r="M697">
        <v>250</v>
      </c>
      <c r="O697">
        <v>46.031312172685503</v>
      </c>
      <c r="P697">
        <v>0.443577012740767</v>
      </c>
      <c r="Q697">
        <v>1.32669491250566</v>
      </c>
      <c r="R697">
        <v>0.49655889743772902</v>
      </c>
      <c r="S697" t="s">
        <v>2023</v>
      </c>
      <c r="T697" t="s">
        <v>2650</v>
      </c>
      <c r="U697" t="s">
        <v>2650</v>
      </c>
      <c r="V697" t="s">
        <v>2650</v>
      </c>
      <c r="W697" t="s">
        <v>3347</v>
      </c>
      <c r="X697">
        <v>5</v>
      </c>
      <c r="Y697" t="s">
        <v>4662</v>
      </c>
      <c r="Z697" t="s">
        <v>5977</v>
      </c>
      <c r="AA697">
        <v>1.2609564693673361</v>
      </c>
      <c r="AB697" t="str">
        <f>HYPERLINK("Melting_Curves/meltCurve_P55786_NPEPPS.pdf", "Melting_Curves/meltCurve_P55786_NPEPPS.pdf")</f>
        <v>Melting_Curves/meltCurve_P55786_NPEPPS.pdf</v>
      </c>
    </row>
    <row r="698" spans="1:28" x14ac:dyDescent="0.25">
      <c r="A698" t="s">
        <v>702</v>
      </c>
      <c r="B698">
        <v>1</v>
      </c>
      <c r="C698">
        <v>0.64102158197456605</v>
      </c>
      <c r="D698">
        <v>1.0632684291066401</v>
      </c>
      <c r="E698">
        <v>1.2095403936467699</v>
      </c>
      <c r="F698">
        <v>0.92153448366840796</v>
      </c>
      <c r="G698">
        <v>0.89794733787135195</v>
      </c>
      <c r="H698">
        <v>0.87984802912775095</v>
      </c>
      <c r="I698">
        <v>1.0201044799746699</v>
      </c>
      <c r="J698">
        <v>0.52721228431217304</v>
      </c>
      <c r="K698">
        <v>0.92475331117091397</v>
      </c>
      <c r="L698">
        <v>1084.4580961484</v>
      </c>
      <c r="M698">
        <v>17.767127461192999</v>
      </c>
      <c r="O698">
        <v>60.279850731224997</v>
      </c>
      <c r="P698">
        <v>-1.70170243933466E-2</v>
      </c>
      <c r="Q698">
        <v>0.76907231234003404</v>
      </c>
      <c r="R698">
        <v>0.109195577140187</v>
      </c>
      <c r="S698" t="s">
        <v>2024</v>
      </c>
      <c r="T698" t="s">
        <v>2650</v>
      </c>
      <c r="U698" t="s">
        <v>2650</v>
      </c>
      <c r="V698" t="s">
        <v>2650</v>
      </c>
      <c r="W698" t="s">
        <v>3348</v>
      </c>
      <c r="X698">
        <v>1</v>
      </c>
      <c r="Y698" t="s">
        <v>4663</v>
      </c>
      <c r="Z698" t="s">
        <v>5978</v>
      </c>
      <c r="AA698">
        <v>0.93216926317611759</v>
      </c>
      <c r="AB698" t="str">
        <f>HYPERLINK("Melting_Curves/meltCurve_P55957_BID.pdf", "Melting_Curves/meltCurve_P55957_BID.pdf")</f>
        <v>Melting_Curves/meltCurve_P55957_BID.pdf</v>
      </c>
    </row>
    <row r="699" spans="1:28" x14ac:dyDescent="0.25">
      <c r="A699" t="s">
        <v>703</v>
      </c>
      <c r="B699">
        <v>1</v>
      </c>
      <c r="C699">
        <v>0.79401750288431805</v>
      </c>
      <c r="D699">
        <v>1.15175732335312</v>
      </c>
      <c r="E699">
        <v>1.57804541745223</v>
      </c>
      <c r="F699">
        <v>1.47964093761432</v>
      </c>
      <c r="G699">
        <v>1.8465542955229799</v>
      </c>
      <c r="H699">
        <v>1.71590173621859</v>
      </c>
      <c r="I699">
        <v>1.8523229310296301</v>
      </c>
      <c r="J699">
        <v>1.4346737203478099</v>
      </c>
      <c r="K699">
        <v>1.9469004136533801</v>
      </c>
      <c r="L699">
        <v>11538.2083792057</v>
      </c>
      <c r="M699">
        <v>250</v>
      </c>
      <c r="O699">
        <v>46.149865540907598</v>
      </c>
      <c r="P699">
        <v>0.67714152149878404</v>
      </c>
      <c r="Q699">
        <v>1.5</v>
      </c>
      <c r="R699">
        <v>0.60222320539034402</v>
      </c>
      <c r="S699" t="s">
        <v>2025</v>
      </c>
      <c r="T699" t="s">
        <v>2650</v>
      </c>
      <c r="U699" t="s">
        <v>2650</v>
      </c>
      <c r="V699" t="s">
        <v>2650</v>
      </c>
      <c r="W699" t="s">
        <v>3349</v>
      </c>
      <c r="X699">
        <v>1</v>
      </c>
      <c r="Y699" t="s">
        <v>4664</v>
      </c>
      <c r="Z699" t="s">
        <v>5979</v>
      </c>
      <c r="AA699">
        <v>1.397412275967358</v>
      </c>
      <c r="AB699" t="str">
        <f>HYPERLINK("Melting_Curves/meltCurve_P56851_EDDM3B.pdf", "Melting_Curves/meltCurve_P56851_EDDM3B.pdf")</f>
        <v>Melting_Curves/meltCurve_P56851_EDDM3B.pdf</v>
      </c>
    </row>
    <row r="700" spans="1:28" x14ac:dyDescent="0.25">
      <c r="A700" t="s">
        <v>704</v>
      </c>
      <c r="B700">
        <v>1</v>
      </c>
      <c r="C700">
        <v>0.89643916913946597</v>
      </c>
      <c r="D700">
        <v>1.2347922848664701</v>
      </c>
      <c r="E700">
        <v>1.5800445103857601</v>
      </c>
      <c r="F700">
        <v>2.0426557863501502</v>
      </c>
      <c r="G700">
        <v>3.23249258160237</v>
      </c>
      <c r="H700">
        <v>3.4181008902077199</v>
      </c>
      <c r="I700">
        <v>4.3103115727003001</v>
      </c>
      <c r="J700">
        <v>3.0842729970326399</v>
      </c>
      <c r="K700">
        <v>4.0587537091988102</v>
      </c>
      <c r="L700">
        <v>11285.761188669099</v>
      </c>
      <c r="M700">
        <v>245.22082104858501</v>
      </c>
      <c r="O700">
        <v>46.019789293657801</v>
      </c>
      <c r="P700">
        <v>0.66607437883125897</v>
      </c>
      <c r="Q700">
        <v>1.5</v>
      </c>
      <c r="R700">
        <v>-0.60683181744780001</v>
      </c>
      <c r="S700" t="s">
        <v>2026</v>
      </c>
      <c r="T700" t="s">
        <v>2650</v>
      </c>
      <c r="U700" t="s">
        <v>2650</v>
      </c>
      <c r="V700" t="s">
        <v>2650</v>
      </c>
      <c r="W700" t="s">
        <v>3350</v>
      </c>
      <c r="X700">
        <v>6</v>
      </c>
      <c r="Y700" t="s">
        <v>4665</v>
      </c>
      <c r="Z700" t="s">
        <v>5980</v>
      </c>
      <c r="AA700">
        <v>1.399577183657265</v>
      </c>
      <c r="AB700" t="str">
        <f>HYPERLINK("Melting_Curves/meltCurve_P58499_FAM3B.pdf", "Melting_Curves/meltCurve_P58499_FAM3B.pdf")</f>
        <v>Melting_Curves/meltCurve_P58499_FAM3B.pdf</v>
      </c>
    </row>
    <row r="701" spans="1:28" x14ac:dyDescent="0.25">
      <c r="A701" t="s">
        <v>705</v>
      </c>
      <c r="B701">
        <v>1</v>
      </c>
      <c r="C701">
        <v>0.55773059414784298</v>
      </c>
      <c r="D701">
        <v>0.97744368993682895</v>
      </c>
      <c r="E701">
        <v>0.96909268964626605</v>
      </c>
      <c r="F701">
        <v>0.740634719068476</v>
      </c>
      <c r="G701">
        <v>0.69529610537757103</v>
      </c>
      <c r="H701">
        <v>1.1255555675128901</v>
      </c>
      <c r="I701">
        <v>0.87167870172077999</v>
      </c>
      <c r="J701">
        <v>0.53720822616575004</v>
      </c>
      <c r="K701">
        <v>0.77234914929565301</v>
      </c>
      <c r="L701">
        <v>76.831601401715801</v>
      </c>
      <c r="M701">
        <v>1.0000000000000001E-5</v>
      </c>
      <c r="Q701">
        <v>0.101518557531452</v>
      </c>
      <c r="R701">
        <v>3.3135393935147299E-2</v>
      </c>
      <c r="S701" t="s">
        <v>2027</v>
      </c>
      <c r="T701" t="s">
        <v>2650</v>
      </c>
      <c r="U701" t="s">
        <v>2650</v>
      </c>
      <c r="V701" t="s">
        <v>2650</v>
      </c>
      <c r="W701" t="s">
        <v>3351</v>
      </c>
      <c r="X701">
        <v>1</v>
      </c>
      <c r="Y701" t="s">
        <v>4666</v>
      </c>
      <c r="Z701" t="s">
        <v>5981</v>
      </c>
      <c r="AA701">
        <v>0.82464952973394334</v>
      </c>
      <c r="AB701" t="str">
        <f>HYPERLINK("Melting_Curves/meltCurve_P58546_MTPN.pdf", "Melting_Curves/meltCurve_P58546_MTPN.pdf")</f>
        <v>Melting_Curves/meltCurve_P58546_MTPN.pdf</v>
      </c>
    </row>
    <row r="702" spans="1:28" x14ac:dyDescent="0.25">
      <c r="A702" t="s">
        <v>706</v>
      </c>
      <c r="B702">
        <v>1</v>
      </c>
      <c r="C702">
        <v>0.88294033984579701</v>
      </c>
      <c r="D702">
        <v>1.1251141552511399</v>
      </c>
      <c r="E702">
        <v>1.3815704768321</v>
      </c>
      <c r="F702">
        <v>1.2090875065498901</v>
      </c>
      <c r="G702">
        <v>1.72497941462684</v>
      </c>
      <c r="H702">
        <v>1.2346283404446401</v>
      </c>
      <c r="I702">
        <v>1.62796616513212</v>
      </c>
      <c r="J702">
        <v>1.50625046784939</v>
      </c>
      <c r="K702">
        <v>1.5451755370911</v>
      </c>
      <c r="L702">
        <v>1023.31696321386</v>
      </c>
      <c r="M702">
        <v>20.809698701092401</v>
      </c>
      <c r="O702">
        <v>48.727638884624398</v>
      </c>
      <c r="P702">
        <v>5.33841657146953E-2</v>
      </c>
      <c r="Q702">
        <v>1.5</v>
      </c>
      <c r="R702">
        <v>0.68900537636186698</v>
      </c>
      <c r="S702" t="s">
        <v>2028</v>
      </c>
      <c r="T702" t="s">
        <v>2650</v>
      </c>
      <c r="U702" t="s">
        <v>2650</v>
      </c>
      <c r="V702" t="s">
        <v>2650</v>
      </c>
      <c r="W702" t="s">
        <v>3352</v>
      </c>
      <c r="X702">
        <v>3</v>
      </c>
      <c r="Y702" t="s">
        <v>4667</v>
      </c>
      <c r="Z702" t="s">
        <v>5982</v>
      </c>
      <c r="AA702">
        <v>1.3406297562612199</v>
      </c>
      <c r="AB702" t="str">
        <f>HYPERLINK("Melting_Curves/meltCurve_P59666_DEFA3.pdf", "Melting_Curves/meltCurve_P59666_DEFA3.pdf")</f>
        <v>Melting_Curves/meltCurve_P59666_DEFA3.pdf</v>
      </c>
    </row>
    <row r="703" spans="1:28" x14ac:dyDescent="0.25">
      <c r="A703" t="s">
        <v>707</v>
      </c>
      <c r="B703">
        <v>1</v>
      </c>
      <c r="C703">
        <v>0.74860713099733101</v>
      </c>
      <c r="D703">
        <v>1.1235440982941201</v>
      </c>
      <c r="E703">
        <v>1.1573542253434499</v>
      </c>
      <c r="F703">
        <v>0.91074569225281998</v>
      </c>
      <c r="G703">
        <v>0.94597021166689199</v>
      </c>
      <c r="H703">
        <v>0.924323858954334</v>
      </c>
      <c r="I703">
        <v>0.97006407812365503</v>
      </c>
      <c r="J703">
        <v>0.62238183674222403</v>
      </c>
      <c r="K703">
        <v>0.91570221506143401</v>
      </c>
      <c r="L703">
        <v>15000</v>
      </c>
      <c r="M703">
        <v>232.479821304555</v>
      </c>
      <c r="O703">
        <v>64.516948752077994</v>
      </c>
      <c r="P703">
        <v>-0.208050963107038</v>
      </c>
      <c r="Q703">
        <v>0.76904981490948898</v>
      </c>
      <c r="R703">
        <v>0.27296919476178799</v>
      </c>
      <c r="S703" t="s">
        <v>2029</v>
      </c>
      <c r="T703" t="s">
        <v>2650</v>
      </c>
      <c r="U703" t="s">
        <v>2650</v>
      </c>
      <c r="V703" t="s">
        <v>2650</v>
      </c>
      <c r="W703" t="s">
        <v>3353</v>
      </c>
      <c r="X703">
        <v>2</v>
      </c>
      <c r="Y703" t="s">
        <v>4668</v>
      </c>
      <c r="Z703" t="s">
        <v>5983</v>
      </c>
      <c r="AA703">
        <v>0.95785665179462431</v>
      </c>
      <c r="AB703" t="str">
        <f>HYPERLINK("Melting_Curves/meltCurve_P59861_DEFB131.pdf", "Melting_Curves/meltCurve_P59861_DEFB131.pdf")</f>
        <v>Melting_Curves/meltCurve_P59861_DEFB131.pdf</v>
      </c>
    </row>
    <row r="704" spans="1:28" x14ac:dyDescent="0.25">
      <c r="A704" t="s">
        <v>708</v>
      </c>
      <c r="B704">
        <v>1</v>
      </c>
      <c r="C704">
        <v>0.73968760312396897</v>
      </c>
      <c r="D704">
        <v>1.14343856561434</v>
      </c>
      <c r="E704">
        <v>1.48284017159828</v>
      </c>
      <c r="F704">
        <v>1.2349576504235</v>
      </c>
      <c r="G704">
        <v>1.27664723352766</v>
      </c>
      <c r="H704">
        <v>1.4222857771422299</v>
      </c>
      <c r="I704">
        <v>1.8939610603893999</v>
      </c>
      <c r="J704">
        <v>1.1663183368166301</v>
      </c>
      <c r="K704">
        <v>1.5227147728522701</v>
      </c>
      <c r="L704">
        <v>11531.5978932742</v>
      </c>
      <c r="M704">
        <v>250</v>
      </c>
      <c r="O704">
        <v>46.1234412179397</v>
      </c>
      <c r="P704">
        <v>0.58068650434131297</v>
      </c>
      <c r="Q704">
        <v>1.4285321438215399</v>
      </c>
      <c r="R704">
        <v>0.52744470664104004</v>
      </c>
      <c r="S704" t="s">
        <v>2030</v>
      </c>
      <c r="T704" t="s">
        <v>2650</v>
      </c>
      <c r="U704" t="s">
        <v>2650</v>
      </c>
      <c r="V704" t="s">
        <v>2650</v>
      </c>
      <c r="W704" t="s">
        <v>3354</v>
      </c>
      <c r="X704">
        <v>1</v>
      </c>
      <c r="Y704" t="s">
        <v>4669</v>
      </c>
      <c r="Z704" t="s">
        <v>5984</v>
      </c>
      <c r="AA704">
        <v>1.3409855965164219</v>
      </c>
      <c r="AB704" t="str">
        <f>HYPERLINK("Melting_Curves/meltCurve_P59998_4_ARPC4.pdf", "Melting_Curves/meltCurve_P59998_4_ARPC4.pdf")</f>
        <v>Melting_Curves/meltCurve_P59998_4_ARPC4.pdf</v>
      </c>
    </row>
    <row r="705" spans="1:28" x14ac:dyDescent="0.25">
      <c r="A705" t="s">
        <v>709</v>
      </c>
      <c r="B705">
        <v>1</v>
      </c>
      <c r="C705">
        <v>0.75853497372643996</v>
      </c>
      <c r="D705">
        <v>1.30162675812592</v>
      </c>
      <c r="E705">
        <v>1.73842862087411</v>
      </c>
      <c r="F705">
        <v>1.3481954626978401</v>
      </c>
      <c r="G705">
        <v>1.21698499103238</v>
      </c>
      <c r="H705">
        <v>1.3385041376923299</v>
      </c>
      <c r="I705">
        <v>1.7859098203329</v>
      </c>
      <c r="J705">
        <v>0.81208898398414098</v>
      </c>
      <c r="K705">
        <v>1.2634592995815099</v>
      </c>
      <c r="L705">
        <v>11422.5651881088</v>
      </c>
      <c r="M705">
        <v>250</v>
      </c>
      <c r="O705">
        <v>45.687336920076604</v>
      </c>
      <c r="P705">
        <v>0.489267222836065</v>
      </c>
      <c r="Q705">
        <v>1.3576530625162699</v>
      </c>
      <c r="R705">
        <v>0.31567706549623797</v>
      </c>
      <c r="S705" t="s">
        <v>2031</v>
      </c>
      <c r="T705" t="s">
        <v>2650</v>
      </c>
      <c r="U705" t="s">
        <v>2650</v>
      </c>
      <c r="V705" t="s">
        <v>2650</v>
      </c>
      <c r="W705" t="s">
        <v>3355</v>
      </c>
      <c r="X705">
        <v>1</v>
      </c>
      <c r="Y705" t="s">
        <v>4670</v>
      </c>
      <c r="Z705" t="s">
        <v>5985</v>
      </c>
      <c r="AA705">
        <v>1.2897864110355191</v>
      </c>
      <c r="AB705" t="str">
        <f>HYPERLINK("Melting_Curves/meltCurve_P60022_DEFB1.pdf", "Melting_Curves/meltCurve_P60022_DEFB1.pdf")</f>
        <v>Melting_Curves/meltCurve_P60022_DEFB1.pdf</v>
      </c>
    </row>
    <row r="706" spans="1:28" x14ac:dyDescent="0.25">
      <c r="A706" t="s">
        <v>710</v>
      </c>
      <c r="B706">
        <v>1</v>
      </c>
      <c r="C706">
        <v>0.69001468954892298</v>
      </c>
      <c r="D706">
        <v>1.0421876679445401</v>
      </c>
      <c r="E706">
        <v>1.28074952527677</v>
      </c>
      <c r="F706">
        <v>1.11626240550321</v>
      </c>
      <c r="G706">
        <v>1.74042492207373</v>
      </c>
      <c r="H706">
        <v>2.26631077353015</v>
      </c>
      <c r="I706">
        <v>2.9026190390885298</v>
      </c>
      <c r="J706">
        <v>1.7479130092078401</v>
      </c>
      <c r="K706">
        <v>2.76396402851922</v>
      </c>
      <c r="L706">
        <v>12180.654329527601</v>
      </c>
      <c r="M706">
        <v>228.629577029518</v>
      </c>
      <c r="O706">
        <v>53.272732689898596</v>
      </c>
      <c r="P706">
        <v>0.53646013153775296</v>
      </c>
      <c r="Q706">
        <v>1.5</v>
      </c>
      <c r="R706">
        <v>0.16733552456251599</v>
      </c>
      <c r="S706" t="s">
        <v>2032</v>
      </c>
      <c r="T706" t="s">
        <v>2650</v>
      </c>
      <c r="U706" t="s">
        <v>2650</v>
      </c>
      <c r="V706" t="s">
        <v>2650</v>
      </c>
      <c r="W706" t="s">
        <v>3356</v>
      </c>
      <c r="X706">
        <v>10</v>
      </c>
      <c r="Y706" t="s">
        <v>4671</v>
      </c>
      <c r="Z706" t="s">
        <v>5986</v>
      </c>
      <c r="AA706">
        <v>1.2786639478968569</v>
      </c>
      <c r="AB706" t="str">
        <f>HYPERLINK("Melting_Curves/meltCurve_P60028_GDI1.pdf", "Melting_Curves/meltCurve_P60028_GDI1.pdf")</f>
        <v>Melting_Curves/meltCurve_P60028_GDI1.pdf</v>
      </c>
    </row>
    <row r="707" spans="1:28" x14ac:dyDescent="0.25">
      <c r="A707" t="s">
        <v>711</v>
      </c>
      <c r="B707">
        <v>1</v>
      </c>
      <c r="C707">
        <v>0.78453888629433299</v>
      </c>
      <c r="D707">
        <v>1.0844757012170001</v>
      </c>
      <c r="E707">
        <v>1.24015823741106</v>
      </c>
      <c r="F707">
        <v>0.99403862531249099</v>
      </c>
      <c r="G707">
        <v>1.1335952309002499</v>
      </c>
      <c r="H707">
        <v>1.0212356803384499</v>
      </c>
      <c r="I707">
        <v>1.2600478008845899</v>
      </c>
      <c r="J707">
        <v>0.90431581549957396</v>
      </c>
      <c r="K707">
        <v>1.1378808274498</v>
      </c>
      <c r="L707">
        <v>11418.222812113399</v>
      </c>
      <c r="M707">
        <v>250</v>
      </c>
      <c r="O707">
        <v>45.669972070258702</v>
      </c>
      <c r="P707">
        <v>0.13514514618179599</v>
      </c>
      <c r="Q707">
        <v>1.09875319296901</v>
      </c>
      <c r="R707">
        <v>0.22688837391744199</v>
      </c>
      <c r="S707" t="s">
        <v>2033</v>
      </c>
      <c r="T707" t="s">
        <v>2650</v>
      </c>
      <c r="U707" t="s">
        <v>2650</v>
      </c>
      <c r="V707" t="s">
        <v>2650</v>
      </c>
      <c r="W707" t="s">
        <v>3357</v>
      </c>
      <c r="X707">
        <v>8</v>
      </c>
      <c r="Y707" t="s">
        <v>4672</v>
      </c>
      <c r="Z707" t="s">
        <v>5987</v>
      </c>
      <c r="AA707">
        <v>1.080071406580738</v>
      </c>
      <c r="AB707" t="str">
        <f>HYPERLINK("Melting_Curves/meltCurve_P60174_1_TPI1.pdf", "Melting_Curves/meltCurve_P60174_1_TPI1.pdf")</f>
        <v>Melting_Curves/meltCurve_P60174_1_TPI1.pdf</v>
      </c>
    </row>
    <row r="708" spans="1:28" x14ac:dyDescent="0.25">
      <c r="A708" t="s">
        <v>712</v>
      </c>
      <c r="B708">
        <v>1</v>
      </c>
      <c r="C708">
        <v>0.70720769987968901</v>
      </c>
      <c r="D708">
        <v>1.0395384447117999</v>
      </c>
      <c r="E708">
        <v>1.2477851908563899</v>
      </c>
      <c r="F708">
        <v>0.89811877939407203</v>
      </c>
      <c r="G708">
        <v>0.97517226293339199</v>
      </c>
      <c r="H708">
        <v>0.79716723176200399</v>
      </c>
      <c r="I708">
        <v>0.86136935360385003</v>
      </c>
      <c r="J708">
        <v>0.46147325823034002</v>
      </c>
      <c r="K708">
        <v>0.63895876626927695</v>
      </c>
      <c r="L708">
        <v>1511.2498258051201</v>
      </c>
      <c r="M708">
        <v>23.896596829503601</v>
      </c>
      <c r="O708">
        <v>62.803331711017499</v>
      </c>
      <c r="P708">
        <v>-4.5543073786540302E-2</v>
      </c>
      <c r="Q708">
        <v>0.52123544550197098</v>
      </c>
      <c r="R708">
        <v>0.53211794655482902</v>
      </c>
      <c r="S708" t="s">
        <v>2034</v>
      </c>
      <c r="T708" t="s">
        <v>2650</v>
      </c>
      <c r="U708" t="s">
        <v>2650</v>
      </c>
      <c r="V708" t="s">
        <v>2650</v>
      </c>
      <c r="W708" t="s">
        <v>3358</v>
      </c>
      <c r="X708">
        <v>4</v>
      </c>
      <c r="Y708" t="s">
        <v>4673</v>
      </c>
      <c r="Z708" t="s">
        <v>5988</v>
      </c>
      <c r="AA708">
        <v>0.89264452236680703</v>
      </c>
      <c r="AB708" t="str">
        <f>HYPERLINK("Melting_Curves/meltCurve_P60660_2_MYL6.pdf", "Melting_Curves/meltCurve_P60660_2_MYL6.pdf")</f>
        <v>Melting_Curves/meltCurve_P60660_2_MYL6.pdf</v>
      </c>
    </row>
    <row r="709" spans="1:28" x14ac:dyDescent="0.25">
      <c r="A709" t="s">
        <v>713</v>
      </c>
      <c r="B709">
        <v>1</v>
      </c>
      <c r="C709">
        <v>0.82685079261317196</v>
      </c>
      <c r="D709">
        <v>1.1607288772675299</v>
      </c>
      <c r="E709">
        <v>1.7531459388788999</v>
      </c>
      <c r="F709">
        <v>1.7550253309364301</v>
      </c>
      <c r="G709">
        <v>1.9236803399248199</v>
      </c>
      <c r="H709">
        <v>1.89540774636378</v>
      </c>
      <c r="I709">
        <v>2.90676581140709</v>
      </c>
      <c r="J709">
        <v>1.9917470174865199</v>
      </c>
      <c r="K709">
        <v>2.8317535545023702</v>
      </c>
      <c r="L709">
        <v>11534.3657083816</v>
      </c>
      <c r="M709">
        <v>250</v>
      </c>
      <c r="O709">
        <v>46.134510522622698</v>
      </c>
      <c r="P709">
        <v>0.67736711206018596</v>
      </c>
      <c r="Q709">
        <v>1.5</v>
      </c>
      <c r="R709">
        <v>-3.1954612886802201E-2</v>
      </c>
      <c r="S709" t="s">
        <v>2035</v>
      </c>
      <c r="T709" t="s">
        <v>2650</v>
      </c>
      <c r="U709" t="s">
        <v>2650</v>
      </c>
      <c r="V709" t="s">
        <v>2650</v>
      </c>
      <c r="W709" t="s">
        <v>3359</v>
      </c>
      <c r="X709">
        <v>3</v>
      </c>
      <c r="Y709" t="s">
        <v>4674</v>
      </c>
      <c r="Z709" t="s">
        <v>5989</v>
      </c>
      <c r="AA709">
        <v>1.397668467509952</v>
      </c>
      <c r="AB709" t="str">
        <f>HYPERLINK("Melting_Curves/meltCurve_P60842_EIF4A1.pdf", "Melting_Curves/meltCurve_P60842_EIF4A1.pdf")</f>
        <v>Melting_Curves/meltCurve_P60842_EIF4A1.pdf</v>
      </c>
    </row>
    <row r="710" spans="1:28" x14ac:dyDescent="0.25">
      <c r="A710" t="s">
        <v>714</v>
      </c>
      <c r="B710">
        <v>1</v>
      </c>
      <c r="C710">
        <v>0.79298900941024397</v>
      </c>
      <c r="D710">
        <v>1.24265498168235</v>
      </c>
      <c r="E710">
        <v>1.55965807054091</v>
      </c>
      <c r="F710">
        <v>1.4179441132102599</v>
      </c>
      <c r="G710">
        <v>1.6784713741828901</v>
      </c>
      <c r="H710">
        <v>1.6655412685870301</v>
      </c>
      <c r="I710">
        <v>2.07700596221536</v>
      </c>
      <c r="J710">
        <v>1.38130881402198</v>
      </c>
      <c r="K710">
        <v>1.81308814021981</v>
      </c>
      <c r="L710">
        <v>11502.703749054701</v>
      </c>
      <c r="M710">
        <v>250</v>
      </c>
      <c r="O710">
        <v>46.007870524711599</v>
      </c>
      <c r="P710">
        <v>0.67923161021822498</v>
      </c>
      <c r="Q710">
        <v>1.5</v>
      </c>
      <c r="R710">
        <v>0.57669495960360195</v>
      </c>
      <c r="S710" t="s">
        <v>2036</v>
      </c>
      <c r="T710" t="s">
        <v>2650</v>
      </c>
      <c r="U710" t="s">
        <v>2650</v>
      </c>
      <c r="V710" t="s">
        <v>2650</v>
      </c>
      <c r="W710" t="s">
        <v>3360</v>
      </c>
      <c r="X710">
        <v>7</v>
      </c>
      <c r="Y710" t="s">
        <v>4675</v>
      </c>
      <c r="Z710" t="s">
        <v>5990</v>
      </c>
      <c r="AA710">
        <v>1.3997793759309041</v>
      </c>
      <c r="AB710" t="str">
        <f>HYPERLINK("Melting_Curves/meltCurve_P60900_PSMA6.pdf", "Melting_Curves/meltCurve_P60900_PSMA6.pdf")</f>
        <v>Melting_Curves/meltCurve_P60900_PSMA6.pdf</v>
      </c>
    </row>
    <row r="711" spans="1:28" x14ac:dyDescent="0.25">
      <c r="A711" t="s">
        <v>715</v>
      </c>
      <c r="B711">
        <v>1</v>
      </c>
      <c r="C711">
        <v>0.84878971580893403</v>
      </c>
      <c r="D711">
        <v>1.2282413975952</v>
      </c>
      <c r="E711">
        <v>1.4490448141937899</v>
      </c>
      <c r="F711">
        <v>1.32629663069493</v>
      </c>
      <c r="G711">
        <v>1.0100892844347</v>
      </c>
      <c r="H711">
        <v>1.0999899680410401</v>
      </c>
      <c r="I711">
        <v>1.57731057511788</v>
      </c>
      <c r="J711">
        <v>0.82293592444501795</v>
      </c>
      <c r="K711">
        <v>1.1668888029006701</v>
      </c>
      <c r="L711">
        <v>11147.419782906099</v>
      </c>
      <c r="M711">
        <v>250</v>
      </c>
      <c r="O711">
        <v>44.586825717616797</v>
      </c>
      <c r="P711">
        <v>0.29452232945547802</v>
      </c>
      <c r="Q711">
        <v>1.2101090519878099</v>
      </c>
      <c r="R711">
        <v>0.21599619805693401</v>
      </c>
      <c r="S711" t="s">
        <v>2037</v>
      </c>
      <c r="T711" t="s">
        <v>2650</v>
      </c>
      <c r="U711" t="s">
        <v>2650</v>
      </c>
      <c r="V711" t="s">
        <v>2650</v>
      </c>
      <c r="W711" t="s">
        <v>3361</v>
      </c>
      <c r="X711">
        <v>1</v>
      </c>
      <c r="Y711" t="s">
        <v>4676</v>
      </c>
      <c r="Z711" t="s">
        <v>5991</v>
      </c>
      <c r="AA711">
        <v>1.1779481723643961</v>
      </c>
      <c r="AB711" t="str">
        <f>HYPERLINK("Melting_Curves/meltCurve_P60903_S100A10.pdf", "Melting_Curves/meltCurve_P60903_S100A10.pdf")</f>
        <v>Melting_Curves/meltCurve_P60903_S100A10.pdf</v>
      </c>
    </row>
    <row r="712" spans="1:28" x14ac:dyDescent="0.25">
      <c r="A712" t="s">
        <v>716</v>
      </c>
      <c r="B712">
        <v>1</v>
      </c>
      <c r="C712">
        <v>0.83675716596125405</v>
      </c>
      <c r="D712">
        <v>1.15556931970682</v>
      </c>
      <c r="E712">
        <v>1.56130208870995</v>
      </c>
      <c r="F712">
        <v>1.01262860878841</v>
      </c>
      <c r="G712">
        <v>1.2444513265200801</v>
      </c>
      <c r="H712">
        <v>1.2761432848147001</v>
      </c>
      <c r="I712">
        <v>1.63507793950656</v>
      </c>
      <c r="J712">
        <v>0.97880320704724499</v>
      </c>
      <c r="K712">
        <v>1.40889852379478</v>
      </c>
      <c r="L712">
        <v>11497.363279052801</v>
      </c>
      <c r="M712">
        <v>250</v>
      </c>
      <c r="O712">
        <v>45.986510119937499</v>
      </c>
      <c r="P712">
        <v>0.41108813725507398</v>
      </c>
      <c r="Q712">
        <v>1.3024721400347501</v>
      </c>
      <c r="R712">
        <v>0.34963983147504901</v>
      </c>
      <c r="S712" t="s">
        <v>2038</v>
      </c>
      <c r="T712" t="s">
        <v>2650</v>
      </c>
      <c r="U712" t="s">
        <v>2650</v>
      </c>
      <c r="V712" t="s">
        <v>2650</v>
      </c>
      <c r="W712" t="s">
        <v>3362</v>
      </c>
      <c r="X712">
        <v>1</v>
      </c>
      <c r="Y712" t="s">
        <v>4677</v>
      </c>
      <c r="Z712" t="s">
        <v>5992</v>
      </c>
      <c r="AA712">
        <v>1.242059637217467</v>
      </c>
      <c r="AB712" t="str">
        <f>HYPERLINK("Melting_Curves/meltCurve_P60953_1_CDC42.pdf", "Melting_Curves/meltCurve_P60953_1_CDC42.pdf")</f>
        <v>Melting_Curves/meltCurve_P60953_1_CDC42.pdf</v>
      </c>
    </row>
    <row r="713" spans="1:28" x14ac:dyDescent="0.25">
      <c r="A713" t="s">
        <v>717</v>
      </c>
      <c r="B713">
        <v>1</v>
      </c>
      <c r="C713">
        <v>0.86286193091890895</v>
      </c>
      <c r="D713">
        <v>1.1899264500512099</v>
      </c>
      <c r="E713">
        <v>1.5783912112466301</v>
      </c>
      <c r="F713">
        <v>1.88115631691649</v>
      </c>
      <c r="G713">
        <v>2.0299320361232698</v>
      </c>
      <c r="H713">
        <v>2.3204543338609098</v>
      </c>
      <c r="I713">
        <v>3.2007727399683499</v>
      </c>
      <c r="J713">
        <v>1.93119821245694</v>
      </c>
      <c r="K713">
        <v>3.0068429382739001</v>
      </c>
      <c r="L713">
        <v>11522.547942879501</v>
      </c>
      <c r="M713">
        <v>250</v>
      </c>
      <c r="O713">
        <v>46.0872415191606</v>
      </c>
      <c r="P713">
        <v>0.678061833895516</v>
      </c>
      <c r="Q713">
        <v>1.5</v>
      </c>
      <c r="R713">
        <v>-0.15484108353953699</v>
      </c>
      <c r="S713" t="s">
        <v>2039</v>
      </c>
      <c r="T713" t="s">
        <v>2650</v>
      </c>
      <c r="U713" t="s">
        <v>2650</v>
      </c>
      <c r="V713" t="s">
        <v>2650</v>
      </c>
      <c r="W713" t="s">
        <v>3363</v>
      </c>
      <c r="X713">
        <v>2</v>
      </c>
      <c r="Y713" t="s">
        <v>4678</v>
      </c>
      <c r="Z713" t="s">
        <v>5993</v>
      </c>
      <c r="AA713">
        <v>1.398456360023415</v>
      </c>
      <c r="AB713" t="str">
        <f>HYPERLINK("Melting_Curves/meltCurve_P61020_RAB5B.pdf", "Melting_Curves/meltCurve_P61020_RAB5B.pdf")</f>
        <v>Melting_Curves/meltCurve_P61020_RAB5B.pdf</v>
      </c>
    </row>
    <row r="714" spans="1:28" x14ac:dyDescent="0.25">
      <c r="A714" t="s">
        <v>718</v>
      </c>
      <c r="B714">
        <v>1</v>
      </c>
      <c r="C714">
        <v>0.96776840794611996</v>
      </c>
      <c r="D714">
        <v>1.78634897277718</v>
      </c>
      <c r="E714">
        <v>2.4767955175731502</v>
      </c>
      <c r="F714">
        <v>2.6365385703775002</v>
      </c>
      <c r="G714">
        <v>2.6187107363178499</v>
      </c>
      <c r="H714">
        <v>2.3790537098873701</v>
      </c>
      <c r="I714">
        <v>2.9806440658780899</v>
      </c>
      <c r="J714">
        <v>2.2893485766030901</v>
      </c>
      <c r="K714">
        <v>2.8278623578017998</v>
      </c>
      <c r="L714">
        <v>11048.2756040453</v>
      </c>
      <c r="M714">
        <v>250</v>
      </c>
      <c r="O714">
        <v>44.190274277140901</v>
      </c>
      <c r="P714">
        <v>0.70716917909551702</v>
      </c>
      <c r="Q714">
        <v>1.5</v>
      </c>
      <c r="R714">
        <v>-0.93515610388105497</v>
      </c>
      <c r="S714" t="s">
        <v>2040</v>
      </c>
      <c r="T714" t="s">
        <v>2650</v>
      </c>
      <c r="U714" t="s">
        <v>2650</v>
      </c>
      <c r="V714" t="s">
        <v>2650</v>
      </c>
      <c r="W714" t="s">
        <v>3364</v>
      </c>
      <c r="X714">
        <v>3</v>
      </c>
      <c r="Y714" t="s">
        <v>4679</v>
      </c>
      <c r="Z714" t="s">
        <v>5994</v>
      </c>
      <c r="AA714">
        <v>1.4300761806268281</v>
      </c>
      <c r="AB714" t="str">
        <f>HYPERLINK("Melting_Curves/meltCurve_P61088_UBE2N.pdf", "Melting_Curves/meltCurve_P61088_UBE2N.pdf")</f>
        <v>Melting_Curves/meltCurve_P61088_UBE2N.pdf</v>
      </c>
    </row>
    <row r="715" spans="1:28" x14ac:dyDescent="0.25">
      <c r="A715" t="s">
        <v>719</v>
      </c>
      <c r="B715">
        <v>1</v>
      </c>
      <c r="C715">
        <v>0.63818535041013102</v>
      </c>
      <c r="D715">
        <v>0.99564685566268496</v>
      </c>
      <c r="E715">
        <v>1.15207224061016</v>
      </c>
      <c r="F715">
        <v>0.72272988919268999</v>
      </c>
      <c r="G715">
        <v>1.08958123471003</v>
      </c>
      <c r="H715">
        <v>0.92959418621384404</v>
      </c>
      <c r="I715">
        <v>1.05007914807886</v>
      </c>
      <c r="J715">
        <v>0.53403367390991496</v>
      </c>
      <c r="K715">
        <v>0.81062023312706899</v>
      </c>
      <c r="L715">
        <v>15000</v>
      </c>
      <c r="M715">
        <v>229.61735852365399</v>
      </c>
      <c r="O715">
        <v>65.321112570958405</v>
      </c>
      <c r="P715">
        <v>-0.28802832858438998</v>
      </c>
      <c r="Q715">
        <v>0.67224896253244804</v>
      </c>
      <c r="R715">
        <v>0.25583840950667602</v>
      </c>
      <c r="S715" t="s">
        <v>2041</v>
      </c>
      <c r="T715" t="s">
        <v>2650</v>
      </c>
      <c r="U715" t="s">
        <v>2650</v>
      </c>
      <c r="V715" t="s">
        <v>2650</v>
      </c>
      <c r="W715" t="s">
        <v>3365</v>
      </c>
      <c r="X715">
        <v>1</v>
      </c>
      <c r="Y715" t="s">
        <v>4680</v>
      </c>
      <c r="Z715" t="s">
        <v>5995</v>
      </c>
      <c r="AA715">
        <v>0.94898171395200692</v>
      </c>
      <c r="AB715" t="str">
        <f>HYPERLINK("Melting_Curves/meltCurve_P61163_ACTR1A.pdf", "Melting_Curves/meltCurve_P61163_ACTR1A.pdf")</f>
        <v>Melting_Curves/meltCurve_P61163_ACTR1A.pdf</v>
      </c>
    </row>
    <row r="716" spans="1:28" x14ac:dyDescent="0.25">
      <c r="A716" t="s">
        <v>720</v>
      </c>
      <c r="B716">
        <v>1</v>
      </c>
      <c r="C716">
        <v>0.81329649542015103</v>
      </c>
      <c r="D716">
        <v>1.2590352449223401</v>
      </c>
      <c r="E716">
        <v>1.4424034249303099</v>
      </c>
      <c r="F716">
        <v>1.2716049382716099</v>
      </c>
      <c r="G716">
        <v>1.39961668657905</v>
      </c>
      <c r="H716">
        <v>1.2287435284747099</v>
      </c>
      <c r="I716">
        <v>1.4631123058542399</v>
      </c>
      <c r="J716">
        <v>1.14244822779769</v>
      </c>
      <c r="K716">
        <v>1.1857078853046601</v>
      </c>
      <c r="L716">
        <v>11420.266802349301</v>
      </c>
      <c r="M716">
        <v>250</v>
      </c>
      <c r="O716">
        <v>45.678143951756901</v>
      </c>
      <c r="P716">
        <v>0.41705572193733598</v>
      </c>
      <c r="Q716">
        <v>1.3048053002990401</v>
      </c>
      <c r="R716">
        <v>0.63048800006803896</v>
      </c>
      <c r="S716" t="s">
        <v>2042</v>
      </c>
      <c r="T716" t="s">
        <v>2650</v>
      </c>
      <c r="U716" t="s">
        <v>2650</v>
      </c>
      <c r="V716" t="s">
        <v>2650</v>
      </c>
      <c r="W716" t="s">
        <v>3366</v>
      </c>
      <c r="X716">
        <v>2</v>
      </c>
      <c r="Y716" t="s">
        <v>4681</v>
      </c>
      <c r="Z716" t="s">
        <v>5996</v>
      </c>
      <c r="AA716">
        <v>1.2470602176323089</v>
      </c>
      <c r="AB716" t="str">
        <f>HYPERLINK("Melting_Curves/meltCurve_P61457_PCBD1.pdf", "Melting_Curves/meltCurve_P61457_PCBD1.pdf")</f>
        <v>Melting_Curves/meltCurve_P61457_PCBD1.pdf</v>
      </c>
    </row>
    <row r="717" spans="1:28" x14ac:dyDescent="0.25">
      <c r="A717" t="s">
        <v>721</v>
      </c>
      <c r="B717">
        <v>1</v>
      </c>
      <c r="C717">
        <v>1.01898373449077</v>
      </c>
      <c r="D717">
        <v>1.2361348590468699</v>
      </c>
      <c r="E717">
        <v>1.2423604717436101</v>
      </c>
      <c r="F717">
        <v>0.96575913016791604</v>
      </c>
      <c r="G717">
        <v>1.28159936867026</v>
      </c>
      <c r="H717">
        <v>1.0403787978429599</v>
      </c>
      <c r="I717">
        <v>1.0692270594940601</v>
      </c>
      <c r="J717">
        <v>0.90455521943092598</v>
      </c>
      <c r="K717">
        <v>0.99035468455434295</v>
      </c>
      <c r="L717">
        <v>2010.7779234991599</v>
      </c>
      <c r="M717">
        <v>29.928201393086599</v>
      </c>
      <c r="O717">
        <v>66.888900615657704</v>
      </c>
      <c r="P717">
        <v>-4.9326429167632999E-3</v>
      </c>
      <c r="Q717">
        <v>0.95590287777180905</v>
      </c>
      <c r="R717">
        <v>-0.35228979149322198</v>
      </c>
      <c r="S717" t="s">
        <v>2043</v>
      </c>
      <c r="T717" t="s">
        <v>2650</v>
      </c>
      <c r="U717" t="s">
        <v>2650</v>
      </c>
      <c r="V717" t="s">
        <v>2650</v>
      </c>
      <c r="W717" t="s">
        <v>3367</v>
      </c>
      <c r="X717">
        <v>2</v>
      </c>
      <c r="Y717" t="s">
        <v>4682</v>
      </c>
      <c r="Z717" t="s">
        <v>5997</v>
      </c>
      <c r="AA717">
        <v>0.99521376428494535</v>
      </c>
      <c r="AB717" t="str">
        <f>HYPERLINK("Melting_Curves/meltCurve_P61604_HSPE1.pdf", "Melting_Curves/meltCurve_P61604_HSPE1.pdf")</f>
        <v>Melting_Curves/meltCurve_P61604_HSPE1.pdf</v>
      </c>
    </row>
    <row r="718" spans="1:28" x14ac:dyDescent="0.25">
      <c r="A718" t="s">
        <v>722</v>
      </c>
      <c r="B718">
        <v>1</v>
      </c>
      <c r="C718">
        <v>0.99285274605020202</v>
      </c>
      <c r="D718">
        <v>1.31983106490664</v>
      </c>
      <c r="E718">
        <v>1.4242014910060901</v>
      </c>
      <c r="F718">
        <v>1.3197455714383399</v>
      </c>
      <c r="G718">
        <v>1.2918063059982201</v>
      </c>
      <c r="H718">
        <v>1.2863176253334201</v>
      </c>
      <c r="I718">
        <v>1.5073866356610399</v>
      </c>
      <c r="J718">
        <v>1.1677723821899999</v>
      </c>
      <c r="K718">
        <v>1.32243006634293</v>
      </c>
      <c r="L718">
        <v>11347.225388518</v>
      </c>
      <c r="M718">
        <v>250</v>
      </c>
      <c r="O718">
        <v>45.385999789572899</v>
      </c>
      <c r="P718">
        <v>0.45633572143404499</v>
      </c>
      <c r="Q718">
        <v>1.33138002632307</v>
      </c>
      <c r="R718">
        <v>0.71715722298890106</v>
      </c>
      <c r="S718" t="s">
        <v>2044</v>
      </c>
      <c r="T718" t="s">
        <v>2650</v>
      </c>
      <c r="U718" t="s">
        <v>2650</v>
      </c>
      <c r="V718" t="s">
        <v>2650</v>
      </c>
      <c r="W718" t="s">
        <v>3368</v>
      </c>
      <c r="X718">
        <v>5</v>
      </c>
      <c r="Y718" t="s">
        <v>4683</v>
      </c>
      <c r="Z718" t="s">
        <v>5998</v>
      </c>
      <c r="AA718">
        <v>1.2718278183506531</v>
      </c>
      <c r="AB718" t="str">
        <f>HYPERLINK("Melting_Curves/meltCurve_P61626_LYZ.pdf", "Melting_Curves/meltCurve_P61626_LYZ.pdf")</f>
        <v>Melting_Curves/meltCurve_P61626_LYZ.pdf</v>
      </c>
    </row>
    <row r="719" spans="1:28" x14ac:dyDescent="0.25">
      <c r="A719" t="s">
        <v>723</v>
      </c>
      <c r="B719">
        <v>1</v>
      </c>
      <c r="C719">
        <v>0.94060467443356399</v>
      </c>
      <c r="D719">
        <v>1.2059895647201799</v>
      </c>
      <c r="E719">
        <v>1.39246658566221</v>
      </c>
      <c r="F719">
        <v>1.1716103209205899</v>
      </c>
      <c r="G719">
        <v>1.30155099706954</v>
      </c>
      <c r="H719">
        <v>1.1463083410764101</v>
      </c>
      <c r="I719">
        <v>1.3280680437424099</v>
      </c>
      <c r="J719">
        <v>0.94339218068758501</v>
      </c>
      <c r="K719">
        <v>1.2152812522335801</v>
      </c>
      <c r="L719">
        <v>11351.1922651685</v>
      </c>
      <c r="M719">
        <v>250</v>
      </c>
      <c r="O719">
        <v>45.4018619245971</v>
      </c>
      <c r="P719">
        <v>0.29472485744197602</v>
      </c>
      <c r="Q719">
        <v>1.2140969235105299</v>
      </c>
      <c r="R719">
        <v>0.40567532537823803</v>
      </c>
      <c r="S719" t="s">
        <v>2045</v>
      </c>
      <c r="T719" t="s">
        <v>2650</v>
      </c>
      <c r="U719" t="s">
        <v>2650</v>
      </c>
      <c r="V719" t="s">
        <v>2650</v>
      </c>
      <c r="W719" t="s">
        <v>3369</v>
      </c>
      <c r="X719">
        <v>9</v>
      </c>
      <c r="Y719" t="s">
        <v>4684</v>
      </c>
      <c r="Z719" t="s">
        <v>5999</v>
      </c>
      <c r="AA719">
        <v>1.1755083823301471</v>
      </c>
      <c r="AB719" t="str">
        <f>HYPERLINK("Melting_Curves/meltCurve_P61769_B2M.pdf", "Melting_Curves/meltCurve_P61769_B2M.pdf")</f>
        <v>Melting_Curves/meltCurve_P61769_B2M.pdf</v>
      </c>
    </row>
    <row r="720" spans="1:28" x14ac:dyDescent="0.25">
      <c r="A720" t="s">
        <v>724</v>
      </c>
      <c r="B720">
        <v>1</v>
      </c>
      <c r="C720">
        <v>0.89671085752643098</v>
      </c>
      <c r="D720">
        <v>1.18803490518543</v>
      </c>
      <c r="E720">
        <v>1.35610001678134</v>
      </c>
      <c r="F720">
        <v>1.08843765732505</v>
      </c>
      <c r="G720">
        <v>1.20565531129384</v>
      </c>
      <c r="H720">
        <v>1.0551266991105901</v>
      </c>
      <c r="I720">
        <v>1.2087598590367501</v>
      </c>
      <c r="J720">
        <v>0.77848632320859201</v>
      </c>
      <c r="K720">
        <v>1.09011579124014</v>
      </c>
      <c r="L720">
        <v>11110.231735822101</v>
      </c>
      <c r="M720">
        <v>250</v>
      </c>
      <c r="O720">
        <v>44.4380829942614</v>
      </c>
      <c r="P720">
        <v>0.17065791712803399</v>
      </c>
      <c r="Q720">
        <v>1.12133937088401</v>
      </c>
      <c r="R720">
        <v>0.16912277023271999</v>
      </c>
      <c r="S720" t="s">
        <v>2046</v>
      </c>
      <c r="T720" t="s">
        <v>2650</v>
      </c>
      <c r="U720" t="s">
        <v>2650</v>
      </c>
      <c r="V720" t="s">
        <v>2650</v>
      </c>
      <c r="W720" t="s">
        <v>3370</v>
      </c>
      <c r="X720">
        <v>10</v>
      </c>
      <c r="Y720" t="s">
        <v>4685</v>
      </c>
      <c r="Z720" t="s">
        <v>6000</v>
      </c>
      <c r="AA720">
        <v>1.103367931198044</v>
      </c>
      <c r="AB720" t="str">
        <f>HYPERLINK("Melting_Curves/meltCurve_P61916_NPC2.pdf", "Melting_Curves/meltCurve_P61916_NPC2.pdf")</f>
        <v>Melting_Curves/meltCurve_P61916_NPC2.pdf</v>
      </c>
    </row>
    <row r="721" spans="1:28" x14ac:dyDescent="0.25">
      <c r="A721" t="s">
        <v>725</v>
      </c>
      <c r="B721">
        <v>1</v>
      </c>
      <c r="C721">
        <v>0.82459166431991004</v>
      </c>
      <c r="D721">
        <v>1.5790270346381301</v>
      </c>
      <c r="E721">
        <v>1.9499436778372301</v>
      </c>
      <c r="F721">
        <v>1.6393973528583501</v>
      </c>
      <c r="G721">
        <v>1.6544635313996101</v>
      </c>
      <c r="H721">
        <v>1.59666291185582</v>
      </c>
      <c r="I721">
        <v>2.0997254294564902</v>
      </c>
      <c r="J721">
        <v>1.45923683469445</v>
      </c>
      <c r="K721">
        <v>1.8612714728245601</v>
      </c>
      <c r="L721">
        <v>11118.212978629799</v>
      </c>
      <c r="M721">
        <v>250</v>
      </c>
      <c r="O721">
        <v>44.470021732432699</v>
      </c>
      <c r="P721">
        <v>0.70272084092866505</v>
      </c>
      <c r="Q721">
        <v>1.5</v>
      </c>
      <c r="R721">
        <v>0.44603461893010998</v>
      </c>
      <c r="S721" t="s">
        <v>2047</v>
      </c>
      <c r="T721" t="s">
        <v>2650</v>
      </c>
      <c r="U721" t="s">
        <v>2650</v>
      </c>
      <c r="V721" t="s">
        <v>2650</v>
      </c>
      <c r="W721" t="s">
        <v>3371</v>
      </c>
      <c r="X721">
        <v>1</v>
      </c>
      <c r="Y721" t="s">
        <v>4686</v>
      </c>
      <c r="Z721" t="s">
        <v>6001</v>
      </c>
      <c r="AA721">
        <v>1.4254134435098651</v>
      </c>
      <c r="AB721" t="str">
        <f>HYPERLINK("Melting_Curves/meltCurve_P61923_5_COPZ1.pdf", "Melting_Curves/meltCurve_P61923_5_COPZ1.pdf")</f>
        <v>Melting_Curves/meltCurve_P61923_5_COPZ1.pdf</v>
      </c>
    </row>
    <row r="722" spans="1:28" x14ac:dyDescent="0.25">
      <c r="A722" t="s">
        <v>726</v>
      </c>
      <c r="B722">
        <v>1</v>
      </c>
      <c r="C722">
        <v>0.72863143499072003</v>
      </c>
      <c r="D722">
        <v>1.08566962977435</v>
      </c>
      <c r="E722">
        <v>1.2072547295757201</v>
      </c>
      <c r="F722">
        <v>0.86903715281169602</v>
      </c>
      <c r="G722">
        <v>0.92781088209436402</v>
      </c>
      <c r="H722">
        <v>0.85676142098922203</v>
      </c>
      <c r="I722">
        <v>0.99706945394158397</v>
      </c>
      <c r="J722">
        <v>0.54788186643222303</v>
      </c>
      <c r="K722">
        <v>0.87359578001367599</v>
      </c>
      <c r="L722">
        <v>1025.30369678427</v>
      </c>
      <c r="M722">
        <v>16.617418132103399</v>
      </c>
      <c r="O722">
        <v>60.827774335018397</v>
      </c>
      <c r="P722">
        <v>-1.8338018643486401E-2</v>
      </c>
      <c r="Q722">
        <v>0.73151413455217096</v>
      </c>
      <c r="R722">
        <v>0.216919337299225</v>
      </c>
      <c r="S722" t="s">
        <v>2048</v>
      </c>
      <c r="T722" t="s">
        <v>2650</v>
      </c>
      <c r="U722" t="s">
        <v>2650</v>
      </c>
      <c r="V722" t="s">
        <v>2650</v>
      </c>
      <c r="W722" t="s">
        <v>3372</v>
      </c>
      <c r="X722">
        <v>1</v>
      </c>
      <c r="Y722" t="s">
        <v>4687</v>
      </c>
      <c r="Z722" t="s">
        <v>6002</v>
      </c>
      <c r="AA722">
        <v>0.92607387509046146</v>
      </c>
      <c r="AB722" t="str">
        <f>HYPERLINK("Melting_Curves/meltCurve_P61956_2_SUMO2.pdf", "Melting_Curves/meltCurve_P61956_2_SUMO2.pdf")</f>
        <v>Melting_Curves/meltCurve_P61956_2_SUMO2.pdf</v>
      </c>
    </row>
    <row r="723" spans="1:28" x14ac:dyDescent="0.25">
      <c r="A723" t="s">
        <v>727</v>
      </c>
      <c r="B723">
        <v>1</v>
      </c>
      <c r="C723">
        <v>1.2426716794924499</v>
      </c>
      <c r="D723">
        <v>1.3627836848185799</v>
      </c>
      <c r="E723">
        <v>1.8450919344416401</v>
      </c>
      <c r="F723">
        <v>1.80998257259786</v>
      </c>
      <c r="G723">
        <v>1.6503749828663199</v>
      </c>
      <c r="H723">
        <v>1.6393702637607901</v>
      </c>
      <c r="I723">
        <v>2.2968924396404899</v>
      </c>
      <c r="J723">
        <v>1.3794082515811901</v>
      </c>
      <c r="K723">
        <v>1.6912804245236801</v>
      </c>
      <c r="L723">
        <v>1566.45973542807</v>
      </c>
      <c r="M723">
        <v>36.252379220935502</v>
      </c>
      <c r="O723">
        <v>43.078974937134298</v>
      </c>
      <c r="P723">
        <v>0.105191895926517</v>
      </c>
      <c r="Q723">
        <v>1.5</v>
      </c>
      <c r="R723">
        <v>0.20009892534717899</v>
      </c>
      <c r="S723" t="s">
        <v>2049</v>
      </c>
      <c r="T723" t="s">
        <v>2650</v>
      </c>
      <c r="U723" t="s">
        <v>2650</v>
      </c>
      <c r="V723" t="s">
        <v>2650</v>
      </c>
      <c r="W723" t="s">
        <v>3373</v>
      </c>
      <c r="X723">
        <v>1</v>
      </c>
      <c r="Y723" t="s">
        <v>4688</v>
      </c>
      <c r="Z723" t="s">
        <v>6003</v>
      </c>
      <c r="AA723">
        <v>1.4438201582864081</v>
      </c>
      <c r="AB723" t="str">
        <f>HYPERLINK("Melting_Curves/meltCurve_P61960_UFM1.pdf", "Melting_Curves/meltCurve_P61960_UFM1.pdf")</f>
        <v>Melting_Curves/meltCurve_P61960_UFM1.pdf</v>
      </c>
    </row>
    <row r="724" spans="1:28" x14ac:dyDescent="0.25">
      <c r="A724" t="s">
        <v>728</v>
      </c>
      <c r="B724">
        <v>1</v>
      </c>
      <c r="C724">
        <v>0.69047247556772195</v>
      </c>
      <c r="D724">
        <v>0.99146111402675097</v>
      </c>
      <c r="E724">
        <v>1.39568233074708</v>
      </c>
      <c r="F724">
        <v>1.0028935759776501</v>
      </c>
      <c r="G724">
        <v>1.2531311612601199</v>
      </c>
      <c r="H724">
        <v>1.04937518616757</v>
      </c>
      <c r="I724">
        <v>1.0558573637253399</v>
      </c>
      <c r="J724">
        <v>0.826981177571949</v>
      </c>
      <c r="K724">
        <v>1.11477851377995</v>
      </c>
      <c r="S724" t="s">
        <v>2050</v>
      </c>
      <c r="T724" t="s">
        <v>2650</v>
      </c>
      <c r="U724" t="s">
        <v>2651</v>
      </c>
      <c r="V724" t="s">
        <v>2650</v>
      </c>
      <c r="W724" t="s">
        <v>3374</v>
      </c>
      <c r="X724">
        <v>2</v>
      </c>
      <c r="Y724" t="s">
        <v>4689</v>
      </c>
      <c r="Z724" t="s">
        <v>6004</v>
      </c>
      <c r="AB724" t="str">
        <f>HYPERLINK("Melting_Curves/meltCurve_P61970_NUTF2.pdf", "Melting_Curves/meltCurve_P61970_NUTF2.pdf")</f>
        <v>Melting_Curves/meltCurve_P61970_NUTF2.pdf</v>
      </c>
    </row>
    <row r="725" spans="1:28" x14ac:dyDescent="0.25">
      <c r="A725" t="s">
        <v>729</v>
      </c>
      <c r="B725">
        <v>1</v>
      </c>
      <c r="C725">
        <v>0.76816301516776497</v>
      </c>
      <c r="D725">
        <v>1.3162249119044001</v>
      </c>
      <c r="E725">
        <v>1.9693886931208799</v>
      </c>
      <c r="F725">
        <v>1.5033552933966601</v>
      </c>
      <c r="G725">
        <v>1.82647464378734</v>
      </c>
      <c r="H725">
        <v>1.78397426076298</v>
      </c>
      <c r="I725">
        <v>2.0630611306879101</v>
      </c>
      <c r="J725">
        <v>1.25530871763444</v>
      </c>
      <c r="K725">
        <v>1.86906695265819</v>
      </c>
      <c r="L725">
        <v>11475.033921852701</v>
      </c>
      <c r="M725">
        <v>250</v>
      </c>
      <c r="O725">
        <v>45.897198610859199</v>
      </c>
      <c r="P725">
        <v>0.68086944601118005</v>
      </c>
      <c r="Q725">
        <v>1.5</v>
      </c>
      <c r="R725">
        <v>0.43590865636944398</v>
      </c>
      <c r="S725" t="s">
        <v>2051</v>
      </c>
      <c r="T725" t="s">
        <v>2650</v>
      </c>
      <c r="U725" t="s">
        <v>2650</v>
      </c>
      <c r="V725" t="s">
        <v>2650</v>
      </c>
      <c r="W725" t="s">
        <v>3375</v>
      </c>
      <c r="X725">
        <v>4</v>
      </c>
      <c r="Y725" t="s">
        <v>4690</v>
      </c>
      <c r="Z725" t="s">
        <v>6005</v>
      </c>
      <c r="AA725">
        <v>1.4016241281979469</v>
      </c>
      <c r="AB725" t="str">
        <f>HYPERLINK("Melting_Curves/meltCurve_P61981_YWHAG.pdf", "Melting_Curves/meltCurve_P61981_YWHAG.pdf")</f>
        <v>Melting_Curves/meltCurve_P61981_YWHAG.pdf</v>
      </c>
    </row>
    <row r="726" spans="1:28" x14ac:dyDescent="0.25">
      <c r="A726" t="s">
        <v>730</v>
      </c>
      <c r="B726">
        <v>1</v>
      </c>
      <c r="C726">
        <v>1.0411800504245501</v>
      </c>
      <c r="D726">
        <v>1.0682760019706099</v>
      </c>
      <c r="E726">
        <v>1.09235807227519</v>
      </c>
      <c r="F726">
        <v>1.3056191497377301</v>
      </c>
      <c r="G726">
        <v>1.1233083142550799</v>
      </c>
      <c r="H726">
        <v>1.06155272843191</v>
      </c>
      <c r="I726">
        <v>1.28631871794129</v>
      </c>
      <c r="J726">
        <v>0.70406004578781101</v>
      </c>
      <c r="K726">
        <v>1.1282348508998199</v>
      </c>
      <c r="L726">
        <v>1430.64508109749</v>
      </c>
      <c r="M726">
        <v>32.711527404450798</v>
      </c>
      <c r="O726">
        <v>43.572720183556498</v>
      </c>
      <c r="P726">
        <v>1.8585060084206299E-2</v>
      </c>
      <c r="Q726">
        <v>1.0990229339088899</v>
      </c>
      <c r="R726">
        <v>4.2390354014993803E-2</v>
      </c>
      <c r="S726" t="s">
        <v>2052</v>
      </c>
      <c r="T726" t="s">
        <v>2650</v>
      </c>
      <c r="U726" t="s">
        <v>2650</v>
      </c>
      <c r="V726" t="s">
        <v>2650</v>
      </c>
      <c r="W726" t="s">
        <v>3376</v>
      </c>
      <c r="X726">
        <v>1</v>
      </c>
      <c r="Y726" t="s">
        <v>4691</v>
      </c>
      <c r="Z726" t="s">
        <v>6006</v>
      </c>
      <c r="AA726">
        <v>1.0860830863375419</v>
      </c>
      <c r="AB726" t="str">
        <f>HYPERLINK("Melting_Curves/meltCurve_P62195_2_PSMC5.pdf", "Melting_Curves/meltCurve_P62195_2_PSMC5.pdf")</f>
        <v>Melting_Curves/meltCurve_P62195_2_PSMC5.pdf</v>
      </c>
    </row>
    <row r="727" spans="1:28" x14ac:dyDescent="0.25">
      <c r="A727" t="s">
        <v>731</v>
      </c>
      <c r="B727">
        <v>1</v>
      </c>
      <c r="C727">
        <v>0.74292884404245296</v>
      </c>
      <c r="D727">
        <v>1.0360223767449199</v>
      </c>
      <c r="E727">
        <v>1.2494902493856901</v>
      </c>
      <c r="F727">
        <v>0.91891044073822303</v>
      </c>
      <c r="G727">
        <v>0.97297014691274097</v>
      </c>
      <c r="H727">
        <v>0.79489726564542296</v>
      </c>
      <c r="I727">
        <v>1.06901239086109</v>
      </c>
      <c r="J727">
        <v>0.65378783918021599</v>
      </c>
      <c r="K727">
        <v>0.93250379045328602</v>
      </c>
      <c r="L727">
        <v>14330.218523420999</v>
      </c>
      <c r="M727">
        <v>250</v>
      </c>
      <c r="O727">
        <v>57.317215204450903</v>
      </c>
      <c r="P727">
        <v>-0.14987829108397799</v>
      </c>
      <c r="Q727">
        <v>0.86255032209410498</v>
      </c>
      <c r="R727">
        <v>0.13656652738591801</v>
      </c>
      <c r="S727" t="s">
        <v>2053</v>
      </c>
      <c r="T727" t="s">
        <v>2650</v>
      </c>
      <c r="U727" t="s">
        <v>2650</v>
      </c>
      <c r="V727" t="s">
        <v>2650</v>
      </c>
      <c r="W727" t="s">
        <v>3377</v>
      </c>
      <c r="X727">
        <v>2</v>
      </c>
      <c r="Y727" t="s">
        <v>4692</v>
      </c>
      <c r="Z727" t="s">
        <v>6007</v>
      </c>
      <c r="AA727">
        <v>0.94192243466011971</v>
      </c>
      <c r="AB727" t="str">
        <f>HYPERLINK("Melting_Curves/meltCurve_P62249_RPS16.pdf", "Melting_Curves/meltCurve_P62249_RPS16.pdf")</f>
        <v>Melting_Curves/meltCurve_P62249_RPS16.pdf</v>
      </c>
    </row>
    <row r="728" spans="1:28" x14ac:dyDescent="0.25">
      <c r="A728" t="s">
        <v>732</v>
      </c>
      <c r="B728">
        <v>1</v>
      </c>
      <c r="C728">
        <v>0.75251564852230401</v>
      </c>
      <c r="D728">
        <v>1.32362728785358</v>
      </c>
      <c r="E728">
        <v>2.0256714998811498</v>
      </c>
      <c r="F728">
        <v>1.8668885191347799</v>
      </c>
      <c r="G728">
        <v>2.04246890103795</v>
      </c>
      <c r="H728">
        <v>1.91351715394977</v>
      </c>
      <c r="I728">
        <v>2.3292132160684602</v>
      </c>
      <c r="J728">
        <v>1.4079312257348899</v>
      </c>
      <c r="K728">
        <v>2.0032485539973099</v>
      </c>
      <c r="L728">
        <v>11472.0783306705</v>
      </c>
      <c r="M728">
        <v>250</v>
      </c>
      <c r="O728">
        <v>45.885395001000603</v>
      </c>
      <c r="P728">
        <v>0.68104485908204904</v>
      </c>
      <c r="Q728">
        <v>1.5</v>
      </c>
      <c r="R728">
        <v>0.209930959767715</v>
      </c>
      <c r="S728" t="s">
        <v>2054</v>
      </c>
      <c r="T728" t="s">
        <v>2650</v>
      </c>
      <c r="U728" t="s">
        <v>2650</v>
      </c>
      <c r="V728" t="s">
        <v>2650</v>
      </c>
      <c r="W728" t="s">
        <v>3378</v>
      </c>
      <c r="X728">
        <v>9</v>
      </c>
      <c r="Y728" t="s">
        <v>4693</v>
      </c>
      <c r="Z728" t="s">
        <v>6008</v>
      </c>
      <c r="AA728">
        <v>1.4018211779841161</v>
      </c>
      <c r="AB728" t="str">
        <f>HYPERLINK("Melting_Curves/meltCurve_P62258_YWHAE.pdf", "Melting_Curves/meltCurve_P62258_YWHAE.pdf")</f>
        <v>Melting_Curves/meltCurve_P62258_YWHAE.pdf</v>
      </c>
    </row>
    <row r="729" spans="1:28" x14ac:dyDescent="0.25">
      <c r="A729" t="s">
        <v>733</v>
      </c>
      <c r="B729">
        <v>1</v>
      </c>
      <c r="C729">
        <v>0.62394067796610198</v>
      </c>
      <c r="D729">
        <v>0.85043381759483405</v>
      </c>
      <c r="E729">
        <v>1.0683010492332501</v>
      </c>
      <c r="F729">
        <v>0.87505044390637599</v>
      </c>
      <c r="G729">
        <v>0.88392857142857095</v>
      </c>
      <c r="H729">
        <v>0.83398910411622296</v>
      </c>
      <c r="I729">
        <v>0.94789144471347897</v>
      </c>
      <c r="J729">
        <v>0.591858353510896</v>
      </c>
      <c r="K729">
        <v>0.87489911218724803</v>
      </c>
      <c r="L729">
        <v>65.828366422527594</v>
      </c>
      <c r="M729">
        <v>1.0000000000000001E-5</v>
      </c>
      <c r="Q729">
        <v>0.36492664356084598</v>
      </c>
      <c r="R729">
        <v>2.58352567457815E-2</v>
      </c>
      <c r="S729" t="s">
        <v>2055</v>
      </c>
      <c r="T729" t="s">
        <v>2650</v>
      </c>
      <c r="U729" t="s">
        <v>2650</v>
      </c>
      <c r="V729" t="s">
        <v>2650</v>
      </c>
      <c r="W729" t="s">
        <v>3379</v>
      </c>
      <c r="X729">
        <v>3</v>
      </c>
      <c r="Y729" t="s">
        <v>4694</v>
      </c>
      <c r="Z729" t="s">
        <v>6009</v>
      </c>
      <c r="AA729">
        <v>0.85492492191227576</v>
      </c>
      <c r="AB729" t="str">
        <f>HYPERLINK("Melting_Curves/meltCurve_P62263_RPS14.pdf", "Melting_Curves/meltCurve_P62263_RPS14.pdf")</f>
        <v>Melting_Curves/meltCurve_P62263_RPS14.pdf</v>
      </c>
    </row>
    <row r="730" spans="1:28" x14ac:dyDescent="0.25">
      <c r="A730" t="s">
        <v>734</v>
      </c>
      <c r="B730">
        <v>1</v>
      </c>
      <c r="C730">
        <v>0.67265624999999996</v>
      </c>
      <c r="D730">
        <v>0.94873798076923099</v>
      </c>
      <c r="E730">
        <v>1.17085336538462</v>
      </c>
      <c r="F730">
        <v>0.88203125000000004</v>
      </c>
      <c r="G730">
        <v>0.76688701923076896</v>
      </c>
      <c r="H730">
        <v>0.75709134615384599</v>
      </c>
      <c r="I730">
        <v>0.98810096153846105</v>
      </c>
      <c r="J730">
        <v>0.52486177884615404</v>
      </c>
      <c r="K730">
        <v>0.76598557692307701</v>
      </c>
      <c r="L730">
        <v>255.57162915022599</v>
      </c>
      <c r="M730">
        <v>2.7637150725648199</v>
      </c>
      <c r="O730">
        <v>65.570663296834894</v>
      </c>
      <c r="P730">
        <v>-1.09477051626094E-2</v>
      </c>
      <c r="Q730">
        <v>0</v>
      </c>
      <c r="R730">
        <v>0.18973964150414299</v>
      </c>
      <c r="S730" t="s">
        <v>2056</v>
      </c>
      <c r="T730" t="s">
        <v>2650</v>
      </c>
      <c r="U730" t="s">
        <v>2650</v>
      </c>
      <c r="V730" t="s">
        <v>2650</v>
      </c>
      <c r="W730" t="s">
        <v>3380</v>
      </c>
      <c r="X730">
        <v>1</v>
      </c>
      <c r="Y730" t="s">
        <v>4695</v>
      </c>
      <c r="Z730" t="s">
        <v>6010</v>
      </c>
      <c r="AA730">
        <v>0.85884938656823573</v>
      </c>
      <c r="AB730" t="str">
        <f>HYPERLINK("Melting_Curves/meltCurve_P62280_RPS11.pdf", "Melting_Curves/meltCurve_P62280_RPS11.pdf")</f>
        <v>Melting_Curves/meltCurve_P62280_RPS11.pdf</v>
      </c>
    </row>
    <row r="731" spans="1:28" x14ac:dyDescent="0.25">
      <c r="A731" t="s">
        <v>735</v>
      </c>
      <c r="B731">
        <v>1</v>
      </c>
      <c r="C731">
        <v>0.80507685697918596</v>
      </c>
      <c r="D731">
        <v>1.0811891350009499</v>
      </c>
      <c r="E731">
        <v>1.43844281076952</v>
      </c>
      <c r="F731">
        <v>1.1780002864235199</v>
      </c>
      <c r="G731">
        <v>1.2479711666984901</v>
      </c>
      <c r="H731">
        <v>1.1386647890013399</v>
      </c>
      <c r="I731">
        <v>1.46052129081535</v>
      </c>
      <c r="J731">
        <v>0.92932499522627499</v>
      </c>
      <c r="K731">
        <v>1.2553704410922299</v>
      </c>
      <c r="L731">
        <v>11529.5319414153</v>
      </c>
      <c r="M731">
        <v>250</v>
      </c>
      <c r="O731">
        <v>46.115178007093597</v>
      </c>
      <c r="P731">
        <v>0.31913412753898202</v>
      </c>
      <c r="Q731">
        <v>1.2354708256840601</v>
      </c>
      <c r="R731">
        <v>0.40207233638444101</v>
      </c>
      <c r="S731" t="s">
        <v>2057</v>
      </c>
      <c r="T731" t="s">
        <v>2650</v>
      </c>
      <c r="U731" t="s">
        <v>2650</v>
      </c>
      <c r="V731" t="s">
        <v>2650</v>
      </c>
      <c r="W731" t="s">
        <v>3381</v>
      </c>
      <c r="X731">
        <v>2</v>
      </c>
      <c r="Y731" t="s">
        <v>4696</v>
      </c>
      <c r="Z731" t="s">
        <v>6011</v>
      </c>
      <c r="AA731">
        <v>1.1874304142561669</v>
      </c>
      <c r="AB731" t="str">
        <f>HYPERLINK("Melting_Curves/meltCurve_P62310_LSM3.pdf", "Melting_Curves/meltCurve_P62310_LSM3.pdf")</f>
        <v>Melting_Curves/meltCurve_P62310_LSM3.pdf</v>
      </c>
    </row>
    <row r="732" spans="1:28" x14ac:dyDescent="0.25">
      <c r="A732" t="s">
        <v>736</v>
      </c>
      <c r="B732">
        <v>1</v>
      </c>
      <c r="C732">
        <v>0.59960725893824496</v>
      </c>
      <c r="D732">
        <v>1.0367686890574199</v>
      </c>
      <c r="E732">
        <v>1.14612676056338</v>
      </c>
      <c r="F732">
        <v>0.92300920910075801</v>
      </c>
      <c r="G732">
        <v>0.79530065005417105</v>
      </c>
      <c r="H732">
        <v>0.80803087757313097</v>
      </c>
      <c r="I732">
        <v>0.82969934994582895</v>
      </c>
      <c r="J732">
        <v>0.50098185265438799</v>
      </c>
      <c r="K732">
        <v>0.74756229685807196</v>
      </c>
      <c r="L732">
        <v>1001.89016491738</v>
      </c>
      <c r="M732">
        <v>17.083018488886101</v>
      </c>
      <c r="O732">
        <v>57.862333217220602</v>
      </c>
      <c r="P732">
        <v>-2.5878013776214601E-2</v>
      </c>
      <c r="Q732">
        <v>0.64941289963331805</v>
      </c>
      <c r="R732">
        <v>0.28792689011220202</v>
      </c>
      <c r="S732" t="s">
        <v>2058</v>
      </c>
      <c r="T732" t="s">
        <v>2650</v>
      </c>
      <c r="U732" t="s">
        <v>2650</v>
      </c>
      <c r="V732" t="s">
        <v>2650</v>
      </c>
      <c r="W732" t="s">
        <v>3382</v>
      </c>
      <c r="X732">
        <v>3</v>
      </c>
      <c r="Y732" t="s">
        <v>4697</v>
      </c>
      <c r="Z732" t="s">
        <v>6012</v>
      </c>
      <c r="AA732">
        <v>0.87137225049939493</v>
      </c>
      <c r="AB732" t="str">
        <f>HYPERLINK("Melting_Curves/meltCurve_P62328_TMSB4X.pdf", "Melting_Curves/meltCurve_P62328_TMSB4X.pdf")</f>
        <v>Melting_Curves/meltCurve_P62328_TMSB4X.pdf</v>
      </c>
    </row>
    <row r="733" spans="1:28" x14ac:dyDescent="0.25">
      <c r="A733" t="s">
        <v>737</v>
      </c>
      <c r="B733">
        <v>1</v>
      </c>
      <c r="C733">
        <v>0.80041980059471796</v>
      </c>
      <c r="D733">
        <v>1.1607236562632799</v>
      </c>
      <c r="E733">
        <v>1.3274444638796601</v>
      </c>
      <c r="F733">
        <v>1.08116144831205</v>
      </c>
      <c r="G733">
        <v>1.12014293210725</v>
      </c>
      <c r="H733">
        <v>1.0984282465828701</v>
      </c>
      <c r="I733">
        <v>1.3899397786051599</v>
      </c>
      <c r="J733">
        <v>0.88255578600164897</v>
      </c>
      <c r="K733">
        <v>1.2354881431320099</v>
      </c>
      <c r="L733">
        <v>11284.9750624837</v>
      </c>
      <c r="M733">
        <v>250</v>
      </c>
      <c r="O733">
        <v>45.137011570543798</v>
      </c>
      <c r="P733">
        <v>0.22455635334221499</v>
      </c>
      <c r="Q733">
        <v>1.1621728434051299</v>
      </c>
      <c r="R733">
        <v>0.29447344888794702</v>
      </c>
      <c r="S733" t="s">
        <v>2059</v>
      </c>
      <c r="T733" t="s">
        <v>2650</v>
      </c>
      <c r="U733" t="s">
        <v>2650</v>
      </c>
      <c r="V733" t="s">
        <v>2650</v>
      </c>
      <c r="W733" t="s">
        <v>3383</v>
      </c>
      <c r="X733">
        <v>3</v>
      </c>
      <c r="Y733" t="s">
        <v>4698</v>
      </c>
      <c r="Z733" t="s">
        <v>6013</v>
      </c>
      <c r="AA733">
        <v>1.1343749214895871</v>
      </c>
      <c r="AB733" t="str">
        <f>HYPERLINK("Melting_Curves/meltCurve_P62491_2_RAB11A.pdf", "Melting_Curves/meltCurve_P62491_2_RAB11A.pdf")</f>
        <v>Melting_Curves/meltCurve_P62491_2_RAB11A.pdf</v>
      </c>
    </row>
    <row r="734" spans="1:28" x14ac:dyDescent="0.25">
      <c r="A734" t="s">
        <v>738</v>
      </c>
      <c r="B734">
        <v>1</v>
      </c>
      <c r="C734">
        <v>1.06610068825769</v>
      </c>
      <c r="D734">
        <v>1.2808231142787301</v>
      </c>
      <c r="E734">
        <v>1.4089019320127201</v>
      </c>
      <c r="F734">
        <v>1.8964119763826299</v>
      </c>
      <c r="G734">
        <v>2.7150543269398701</v>
      </c>
      <c r="H734">
        <v>2.13925863815812</v>
      </c>
      <c r="I734">
        <v>2.8161967648394599</v>
      </c>
      <c r="J734">
        <v>2.8912063724976398</v>
      </c>
      <c r="K734">
        <v>2.9022115082276501</v>
      </c>
      <c r="L734">
        <v>1797.3172178201301</v>
      </c>
      <c r="M734">
        <v>39.383005076350301</v>
      </c>
      <c r="O734">
        <v>45.519681780659099</v>
      </c>
      <c r="P734">
        <v>0.10814852585783299</v>
      </c>
      <c r="Q734">
        <v>1.5</v>
      </c>
      <c r="R734">
        <v>-0.38386124509501002</v>
      </c>
      <c r="S734" t="s">
        <v>2060</v>
      </c>
      <c r="T734" t="s">
        <v>2650</v>
      </c>
      <c r="U734" t="s">
        <v>2650</v>
      </c>
      <c r="V734" t="s">
        <v>2650</v>
      </c>
      <c r="W734" t="s">
        <v>3384</v>
      </c>
      <c r="X734">
        <v>1</v>
      </c>
      <c r="Y734" t="s">
        <v>4699</v>
      </c>
      <c r="Z734" t="s">
        <v>6014</v>
      </c>
      <c r="AA734">
        <v>1.4043689903608161</v>
      </c>
      <c r="AB734" t="str">
        <f>HYPERLINK("Melting_Curves/meltCurve_P62495_2_ETF1.pdf", "Melting_Curves/meltCurve_P62495_2_ETF1.pdf")</f>
        <v>Melting_Curves/meltCurve_P62495_2_ETF1.pdf</v>
      </c>
    </row>
    <row r="735" spans="1:28" x14ac:dyDescent="0.25">
      <c r="A735" t="s">
        <v>739</v>
      </c>
      <c r="B735">
        <v>1</v>
      </c>
      <c r="C735">
        <v>0.80704924008304402</v>
      </c>
      <c r="D735">
        <v>1.0480197784434</v>
      </c>
      <c r="E735">
        <v>1.1487186801692599</v>
      </c>
      <c r="F735">
        <v>0.90583052029350697</v>
      </c>
      <c r="G735">
        <v>1.2072457566680901</v>
      </c>
      <c r="H735">
        <v>0.91250257531815104</v>
      </c>
      <c r="I735">
        <v>1.06364601657712</v>
      </c>
      <c r="J735">
        <v>0.76351447725003596</v>
      </c>
      <c r="K735">
        <v>1.05787730391924</v>
      </c>
      <c r="L735">
        <v>15000</v>
      </c>
      <c r="M735">
        <v>229.548540607462</v>
      </c>
      <c r="O735">
        <v>65.340692316408493</v>
      </c>
      <c r="P735">
        <v>-7.8121731282165499E-2</v>
      </c>
      <c r="Q735">
        <v>0.91105099967255798</v>
      </c>
      <c r="R735">
        <v>8.1844508099391894E-2</v>
      </c>
      <c r="S735" t="s">
        <v>2061</v>
      </c>
      <c r="T735" t="s">
        <v>2650</v>
      </c>
      <c r="U735" t="s">
        <v>2650</v>
      </c>
      <c r="V735" t="s">
        <v>2650</v>
      </c>
      <c r="W735" t="s">
        <v>3385</v>
      </c>
      <c r="X735">
        <v>1</v>
      </c>
      <c r="Y735" t="s">
        <v>4700</v>
      </c>
      <c r="Z735" t="s">
        <v>6015</v>
      </c>
      <c r="AA735">
        <v>0.98621212514109191</v>
      </c>
      <c r="AB735" t="str">
        <f>HYPERLINK("Melting_Curves/meltCurve_P62633_2_CNBP.pdf", "Melting_Curves/meltCurve_P62633_2_CNBP.pdf")</f>
        <v>Melting_Curves/meltCurve_P62633_2_CNBP.pdf</v>
      </c>
    </row>
    <row r="736" spans="1:28" x14ac:dyDescent="0.25">
      <c r="A736" t="s">
        <v>740</v>
      </c>
      <c r="B736">
        <v>1</v>
      </c>
      <c r="C736">
        <v>0.74878312601406205</v>
      </c>
      <c r="D736">
        <v>1.0978231476473801</v>
      </c>
      <c r="E736">
        <v>1.3525554353704701</v>
      </c>
      <c r="F736">
        <v>1.0022985397512201</v>
      </c>
      <c r="G736">
        <v>1.0367090319091401</v>
      </c>
      <c r="H736">
        <v>1.0290021633315301</v>
      </c>
      <c r="I736">
        <v>1.1728637101135699</v>
      </c>
      <c r="J736">
        <v>0.763047593293672</v>
      </c>
      <c r="K736">
        <v>0.99506489994591696</v>
      </c>
      <c r="L736">
        <v>1545.73950999662</v>
      </c>
      <c r="M736">
        <v>22.688053745783002</v>
      </c>
      <c r="O736">
        <v>67.607435848844105</v>
      </c>
      <c r="P736">
        <v>-8.5045012804711006E-3</v>
      </c>
      <c r="Q736">
        <v>0.89863279052755096</v>
      </c>
      <c r="R736">
        <v>9.6767028350330797E-3</v>
      </c>
      <c r="S736" t="s">
        <v>2062</v>
      </c>
      <c r="T736" t="s">
        <v>2650</v>
      </c>
      <c r="U736" t="s">
        <v>2650</v>
      </c>
      <c r="V736" t="s">
        <v>2650</v>
      </c>
      <c r="W736" t="s">
        <v>3386</v>
      </c>
      <c r="X736">
        <v>5</v>
      </c>
      <c r="Y736" t="s">
        <v>4701</v>
      </c>
      <c r="Z736" t="s">
        <v>6016</v>
      </c>
      <c r="AA736">
        <v>0.98997737227494798</v>
      </c>
      <c r="AB736" t="str">
        <f>HYPERLINK("Melting_Curves/meltCurve_P62805_HIST1H4A.pdf", "Melting_Curves/meltCurve_P62805_HIST1H4A.pdf")</f>
        <v>Melting_Curves/meltCurve_P62805_HIST1H4A.pdf</v>
      </c>
    </row>
    <row r="737" spans="1:28" x14ac:dyDescent="0.25">
      <c r="A737" t="s">
        <v>741</v>
      </c>
      <c r="B737">
        <v>1</v>
      </c>
      <c r="C737">
        <v>0.90119873817034701</v>
      </c>
      <c r="D737">
        <v>1.1990220820189299</v>
      </c>
      <c r="E737">
        <v>1.49028391167192</v>
      </c>
      <c r="F737">
        <v>1.1558044164037899</v>
      </c>
      <c r="G737">
        <v>1.2411356466876999</v>
      </c>
      <c r="H737">
        <v>1.2444794952681399</v>
      </c>
      <c r="I737">
        <v>1.62990536277603</v>
      </c>
      <c r="J737">
        <v>1.05507886435331</v>
      </c>
      <c r="K737">
        <v>1.40435331230284</v>
      </c>
      <c r="L737">
        <v>11476.0593092823</v>
      </c>
      <c r="M737">
        <v>250</v>
      </c>
      <c r="O737">
        <v>45.901299979923799</v>
      </c>
      <c r="P737">
        <v>0.43202967026991101</v>
      </c>
      <c r="Q737">
        <v>1.31729157341347</v>
      </c>
      <c r="R737">
        <v>0.45023532455579801</v>
      </c>
      <c r="S737" t="s">
        <v>2063</v>
      </c>
      <c r="T737" t="s">
        <v>2650</v>
      </c>
      <c r="U737" t="s">
        <v>2650</v>
      </c>
      <c r="V737" t="s">
        <v>2650</v>
      </c>
      <c r="W737" t="s">
        <v>3387</v>
      </c>
      <c r="X737">
        <v>1</v>
      </c>
      <c r="Y737" t="s">
        <v>4702</v>
      </c>
      <c r="Z737" t="s">
        <v>6017</v>
      </c>
      <c r="AA737">
        <v>1.2548205212574439</v>
      </c>
      <c r="AB737" t="str">
        <f>HYPERLINK("Melting_Curves/meltCurve_P62820_3_RAB1A.pdf", "Melting_Curves/meltCurve_P62820_3_RAB1A.pdf")</f>
        <v>Melting_Curves/meltCurve_P62820_3_RAB1A.pdf</v>
      </c>
    </row>
    <row r="738" spans="1:28" x14ac:dyDescent="0.25">
      <c r="A738" t="s">
        <v>742</v>
      </c>
      <c r="B738">
        <v>1</v>
      </c>
      <c r="C738">
        <v>0.76519479330043805</v>
      </c>
      <c r="D738">
        <v>1.10179853232435</v>
      </c>
      <c r="E738">
        <v>1.23447320518838</v>
      </c>
      <c r="F738">
        <v>0.93989627814857601</v>
      </c>
      <c r="G738">
        <v>0.95114998454475697</v>
      </c>
      <c r="H738">
        <v>0.91488168153041205</v>
      </c>
      <c r="I738">
        <v>1.0315401435620299</v>
      </c>
      <c r="J738">
        <v>0.64580018088358204</v>
      </c>
      <c r="K738">
        <v>0.90148713780352396</v>
      </c>
      <c r="L738">
        <v>15000</v>
      </c>
      <c r="M738">
        <v>229.802257043297</v>
      </c>
      <c r="O738">
        <v>65.268566862199506</v>
      </c>
      <c r="P738">
        <v>-0.19920572070033901</v>
      </c>
      <c r="Q738">
        <v>0.77368591518666696</v>
      </c>
      <c r="R738">
        <v>0.31120296445197398</v>
      </c>
      <c r="S738" t="s">
        <v>2064</v>
      </c>
      <c r="T738" t="s">
        <v>2650</v>
      </c>
      <c r="U738" t="s">
        <v>2650</v>
      </c>
      <c r="V738" t="s">
        <v>2650</v>
      </c>
      <c r="W738" t="s">
        <v>3388</v>
      </c>
      <c r="X738">
        <v>7</v>
      </c>
      <c r="Y738" t="s">
        <v>4703</v>
      </c>
      <c r="Z738" t="s">
        <v>6018</v>
      </c>
      <c r="AA738">
        <v>0.96437497736856026</v>
      </c>
      <c r="AB738" t="str">
        <f>HYPERLINK("Melting_Curves/meltCurve_P62857_RPS28.pdf", "Melting_Curves/meltCurve_P62857_RPS28.pdf")</f>
        <v>Melting_Curves/meltCurve_P62857_RPS28.pdf</v>
      </c>
    </row>
    <row r="739" spans="1:28" x14ac:dyDescent="0.25">
      <c r="A739" t="s">
        <v>743</v>
      </c>
      <c r="B739">
        <v>1</v>
      </c>
      <c r="C739">
        <v>0.80754345614578305</v>
      </c>
      <c r="D739">
        <v>1.1577247998584601</v>
      </c>
      <c r="E739">
        <v>1.30014595957362</v>
      </c>
      <c r="F739">
        <v>1.03073997080809</v>
      </c>
      <c r="G739">
        <v>1.0059157857490399</v>
      </c>
      <c r="H739">
        <v>0.98785881728515201</v>
      </c>
      <c r="I739">
        <v>1.07629704984741</v>
      </c>
      <c r="J739">
        <v>0.72578397983104104</v>
      </c>
      <c r="K739">
        <v>0.952353045247468</v>
      </c>
      <c r="L739">
        <v>5178.1629565906696</v>
      </c>
      <c r="M739">
        <v>79.271581078104902</v>
      </c>
      <c r="O739">
        <v>65.280271872301697</v>
      </c>
      <c r="P739">
        <v>-4.6870152712848397E-2</v>
      </c>
      <c r="Q739">
        <v>0.84560944302129104</v>
      </c>
      <c r="R739">
        <v>0.17953295797754201</v>
      </c>
      <c r="S739" t="s">
        <v>2065</v>
      </c>
      <c r="T739" t="s">
        <v>2650</v>
      </c>
      <c r="U739" t="s">
        <v>2650</v>
      </c>
      <c r="V739" t="s">
        <v>2650</v>
      </c>
      <c r="W739" t="s">
        <v>3389</v>
      </c>
      <c r="X739">
        <v>1</v>
      </c>
      <c r="Y739" t="s">
        <v>4704</v>
      </c>
      <c r="Z739" t="s">
        <v>6019</v>
      </c>
      <c r="AA739">
        <v>0.97607577237004495</v>
      </c>
      <c r="AB739" t="str">
        <f>HYPERLINK("Melting_Curves/meltCurve_P62861_FAU.pdf", "Melting_Curves/meltCurve_P62861_FAU.pdf")</f>
        <v>Melting_Curves/meltCurve_P62861_FAU.pdf</v>
      </c>
    </row>
    <row r="740" spans="1:28" x14ac:dyDescent="0.25">
      <c r="A740" t="s">
        <v>744</v>
      </c>
      <c r="B740">
        <v>1</v>
      </c>
      <c r="C740">
        <v>0.975527914376627</v>
      </c>
      <c r="D740">
        <v>1.2969048307781299</v>
      </c>
      <c r="E740">
        <v>1.72421174428695</v>
      </c>
      <c r="F740">
        <v>1.48015620480185</v>
      </c>
      <c r="G740">
        <v>1.48973098061903</v>
      </c>
      <c r="H740">
        <v>1.8924211744287001</v>
      </c>
      <c r="I740">
        <v>2.3146658952849299</v>
      </c>
      <c r="J740">
        <v>1.4990743419149599</v>
      </c>
      <c r="K740">
        <v>2.22276540352907</v>
      </c>
      <c r="L740">
        <v>11482.532099636701</v>
      </c>
      <c r="M740">
        <v>250</v>
      </c>
      <c r="O740">
        <v>45.927189878590099</v>
      </c>
      <c r="P740">
        <v>0.68042483326072201</v>
      </c>
      <c r="Q740">
        <v>1.5</v>
      </c>
      <c r="R740">
        <v>0.25868032396759999</v>
      </c>
      <c r="S740" t="s">
        <v>2066</v>
      </c>
      <c r="T740" t="s">
        <v>2650</v>
      </c>
      <c r="U740" t="s">
        <v>2650</v>
      </c>
      <c r="V740" t="s">
        <v>2650</v>
      </c>
      <c r="W740" t="s">
        <v>3390</v>
      </c>
      <c r="X740">
        <v>1</v>
      </c>
      <c r="Y740" t="s">
        <v>4705</v>
      </c>
      <c r="Z740" t="s">
        <v>6020</v>
      </c>
      <c r="AA740">
        <v>1.401124223360632</v>
      </c>
      <c r="AB740" t="str">
        <f>HYPERLINK("Melting_Curves/meltCurve_P62888_RPL30.pdf", "Melting_Curves/meltCurve_P62888_RPL30.pdf")</f>
        <v>Melting_Curves/meltCurve_P62888_RPL30.pdf</v>
      </c>
    </row>
    <row r="741" spans="1:28" x14ac:dyDescent="0.25">
      <c r="A741" t="s">
        <v>745</v>
      </c>
      <c r="B741">
        <v>1</v>
      </c>
      <c r="C741">
        <v>0.77313937753721196</v>
      </c>
      <c r="D741">
        <v>1.1023680649526399</v>
      </c>
      <c r="E741">
        <v>1.3629905277401899</v>
      </c>
      <c r="F741">
        <v>1.01231393775372</v>
      </c>
      <c r="G741">
        <v>1.12313937753721</v>
      </c>
      <c r="H741">
        <v>1.1748308525033799</v>
      </c>
      <c r="I741">
        <v>1.5904600811908001</v>
      </c>
      <c r="J741">
        <v>1.10649526387009</v>
      </c>
      <c r="K741">
        <v>1.5132611637347799</v>
      </c>
      <c r="L741">
        <v>488.98399059395001</v>
      </c>
      <c r="M741">
        <v>8.2129106034431505</v>
      </c>
      <c r="O741">
        <v>56.3212569916424</v>
      </c>
      <c r="P741">
        <v>1.8246507668221699E-2</v>
      </c>
      <c r="Q741">
        <v>1.5</v>
      </c>
      <c r="R741">
        <v>0.41373238765083498</v>
      </c>
      <c r="S741" t="s">
        <v>2067</v>
      </c>
      <c r="T741" t="s">
        <v>2650</v>
      </c>
      <c r="U741" t="s">
        <v>2650</v>
      </c>
      <c r="V741" t="s">
        <v>2650</v>
      </c>
      <c r="W741" t="s">
        <v>3391</v>
      </c>
      <c r="X741">
        <v>1</v>
      </c>
      <c r="Y741" t="s">
        <v>4706</v>
      </c>
      <c r="Z741" t="s">
        <v>6021</v>
      </c>
      <c r="AA741">
        <v>1.178957557882538</v>
      </c>
      <c r="AB741" t="str">
        <f>HYPERLINK("Melting_Curves/meltCurve_P62913_2_RPL11.pdf", "Melting_Curves/meltCurve_P62913_2_RPL11.pdf")</f>
        <v>Melting_Curves/meltCurve_P62913_2_RPL11.pdf</v>
      </c>
    </row>
    <row r="742" spans="1:28" x14ac:dyDescent="0.25">
      <c r="A742" t="s">
        <v>746</v>
      </c>
      <c r="B742">
        <v>1</v>
      </c>
      <c r="C742">
        <v>0.78573351278600301</v>
      </c>
      <c r="D742">
        <v>1.0188914719197399</v>
      </c>
      <c r="E742">
        <v>1.1625351768016601</v>
      </c>
      <c r="F742">
        <v>0.95859537501529402</v>
      </c>
      <c r="G742">
        <v>1.06315918267466</v>
      </c>
      <c r="H742">
        <v>1.0888046005138901</v>
      </c>
      <c r="I742">
        <v>1.3438394714303199</v>
      </c>
      <c r="J742">
        <v>0.99351523308454703</v>
      </c>
      <c r="K742">
        <v>1.2763734246910601</v>
      </c>
      <c r="L742">
        <v>2132.4403202889098</v>
      </c>
      <c r="M742">
        <v>35.978345952963501</v>
      </c>
      <c r="O742">
        <v>59.087897646772397</v>
      </c>
      <c r="P742">
        <v>2.97688651872406E-2</v>
      </c>
      <c r="Q742">
        <v>1.19555916872557</v>
      </c>
      <c r="R742">
        <v>0.354695481958134</v>
      </c>
      <c r="S742" t="s">
        <v>2068</v>
      </c>
      <c r="T742" t="s">
        <v>2650</v>
      </c>
      <c r="U742" t="s">
        <v>2650</v>
      </c>
      <c r="V742" t="s">
        <v>2650</v>
      </c>
      <c r="W742" t="s">
        <v>3392</v>
      </c>
      <c r="X742">
        <v>6</v>
      </c>
      <c r="Y742" t="s">
        <v>4707</v>
      </c>
      <c r="Z742" t="s">
        <v>6022</v>
      </c>
      <c r="AA742">
        <v>1.0690162149410041</v>
      </c>
      <c r="AB742" t="str">
        <f>HYPERLINK("Melting_Curves/meltCurve_P62937_PPIA.pdf", "Melting_Curves/meltCurve_P62937_PPIA.pdf")</f>
        <v>Melting_Curves/meltCurve_P62937_PPIA.pdf</v>
      </c>
    </row>
    <row r="743" spans="1:28" x14ac:dyDescent="0.25">
      <c r="A743" t="s">
        <v>747</v>
      </c>
      <c r="B743">
        <v>1</v>
      </c>
      <c r="C743">
        <v>0.80914151382759303</v>
      </c>
      <c r="D743">
        <v>1.33574327471114</v>
      </c>
      <c r="E743">
        <v>1.65953294449003</v>
      </c>
      <c r="F743">
        <v>1.2961566609744699</v>
      </c>
      <c r="G743">
        <v>1.2353906544543301</v>
      </c>
      <c r="H743">
        <v>1.32897917544521</v>
      </c>
      <c r="I743">
        <v>1.3283138542059401</v>
      </c>
      <c r="J743">
        <v>0.96242043866847005</v>
      </c>
      <c r="K743">
        <v>1.2016810449978901</v>
      </c>
      <c r="L743">
        <v>11133.9233364708</v>
      </c>
      <c r="M743">
        <v>250</v>
      </c>
      <c r="O743">
        <v>44.532843448232697</v>
      </c>
      <c r="P743">
        <v>0.41197870653784802</v>
      </c>
      <c r="Q743">
        <v>1.29354533093004</v>
      </c>
      <c r="R743">
        <v>0.430493317024773</v>
      </c>
      <c r="S743" t="s">
        <v>2069</v>
      </c>
      <c r="T743" t="s">
        <v>2650</v>
      </c>
      <c r="U743" t="s">
        <v>2650</v>
      </c>
      <c r="V743" t="s">
        <v>2650</v>
      </c>
      <c r="W743" t="s">
        <v>3393</v>
      </c>
      <c r="X743">
        <v>3</v>
      </c>
      <c r="Y743" t="s">
        <v>4708</v>
      </c>
      <c r="Z743" t="s">
        <v>6023</v>
      </c>
      <c r="AA743">
        <v>1.249141334114992</v>
      </c>
      <c r="AB743" t="str">
        <f>HYPERLINK("Melting_Curves/meltCurve_P62942_FKBP1A.pdf", "Melting_Curves/meltCurve_P62942_FKBP1A.pdf")</f>
        <v>Melting_Curves/meltCurve_P62942_FKBP1A.pdf</v>
      </c>
    </row>
    <row r="744" spans="1:28" x14ac:dyDescent="0.25">
      <c r="A744" t="s">
        <v>748</v>
      </c>
      <c r="B744">
        <v>1</v>
      </c>
      <c r="C744">
        <v>0.79798331015298996</v>
      </c>
      <c r="D744">
        <v>1.18030443517231</v>
      </c>
      <c r="E744">
        <v>1.02924586617215</v>
      </c>
      <c r="F744">
        <v>1.19193324061196</v>
      </c>
      <c r="G744">
        <v>1.0550533147890599</v>
      </c>
      <c r="H744">
        <v>1.035234121465</v>
      </c>
      <c r="I744">
        <v>1.0952712100139099</v>
      </c>
      <c r="J744">
        <v>0.78322515839901097</v>
      </c>
      <c r="K744">
        <v>0.98524184824602101</v>
      </c>
      <c r="L744">
        <v>2465.53782986136</v>
      </c>
      <c r="M744">
        <v>37.534288199870304</v>
      </c>
      <c r="O744">
        <v>65.502006769643401</v>
      </c>
      <c r="P744">
        <v>-1.3886241022065499E-2</v>
      </c>
      <c r="Q744">
        <v>0.90306740743729896</v>
      </c>
      <c r="R744">
        <v>6.1814840063495802E-2</v>
      </c>
      <c r="S744" t="s">
        <v>2070</v>
      </c>
      <c r="T744" t="s">
        <v>2650</v>
      </c>
      <c r="U744" t="s">
        <v>2650</v>
      </c>
      <c r="V744" t="s">
        <v>2650</v>
      </c>
      <c r="W744" t="s">
        <v>3394</v>
      </c>
      <c r="X744">
        <v>5</v>
      </c>
      <c r="Y744" t="s">
        <v>4709</v>
      </c>
      <c r="Z744" t="s">
        <v>6024</v>
      </c>
      <c r="AA744">
        <v>0.98592183654686782</v>
      </c>
      <c r="AB744" t="str">
        <f>HYPERLINK("Melting_Curves/meltCurve_P62987_UBA52.pdf", "Melting_Curves/meltCurve_P62987_UBA52.pdf")</f>
        <v>Melting_Curves/meltCurve_P62987_UBA52.pdf</v>
      </c>
    </row>
    <row r="745" spans="1:28" x14ac:dyDescent="0.25">
      <c r="A745" t="s">
        <v>749</v>
      </c>
      <c r="B745">
        <v>1</v>
      </c>
      <c r="C745">
        <v>0.77080825643083195</v>
      </c>
      <c r="D745">
        <v>1.1031162230841201</v>
      </c>
      <c r="E745">
        <v>1.4338638491373501</v>
      </c>
      <c r="F745">
        <v>1.14479960768579</v>
      </c>
      <c r="G745">
        <v>1.3296776782131901</v>
      </c>
      <c r="H745">
        <v>1.21884891444875</v>
      </c>
      <c r="I745">
        <v>1.58445900762338</v>
      </c>
      <c r="J745">
        <v>1.14725157148589</v>
      </c>
      <c r="K745">
        <v>1.46275244081851</v>
      </c>
      <c r="L745">
        <v>11536.6110223012</v>
      </c>
      <c r="M745">
        <v>250</v>
      </c>
      <c r="O745">
        <v>46.143489832118</v>
      </c>
      <c r="P745">
        <v>0.44923010470466901</v>
      </c>
      <c r="Q745">
        <v>1.331664724473</v>
      </c>
      <c r="R745">
        <v>0.56948846997817304</v>
      </c>
      <c r="S745" t="s">
        <v>2071</v>
      </c>
      <c r="T745" t="s">
        <v>2650</v>
      </c>
      <c r="U745" t="s">
        <v>2650</v>
      </c>
      <c r="V745" t="s">
        <v>2650</v>
      </c>
      <c r="W745" t="s">
        <v>3395</v>
      </c>
      <c r="X745">
        <v>2</v>
      </c>
      <c r="Y745" t="s">
        <v>4710</v>
      </c>
      <c r="Z745" t="s">
        <v>6025</v>
      </c>
      <c r="AA745">
        <v>1.2636859079992231</v>
      </c>
      <c r="AB745" t="str">
        <f>HYPERLINK("Melting_Curves/meltCurve_P63000_RAC1.pdf", "Melting_Curves/meltCurve_P63000_RAC1.pdf")</f>
        <v>Melting_Curves/meltCurve_P63000_RAC1.pdf</v>
      </c>
    </row>
    <row r="746" spans="1:28" x14ac:dyDescent="0.25">
      <c r="A746" t="s">
        <v>750</v>
      </c>
      <c r="B746">
        <v>1</v>
      </c>
      <c r="C746">
        <v>0.84497888898087603</v>
      </c>
      <c r="D746">
        <v>1.2189336865634599</v>
      </c>
      <c r="E746">
        <v>2.0528741341722601</v>
      </c>
      <c r="F746">
        <v>2.7171123437370599</v>
      </c>
      <c r="G746">
        <v>4.2985070508044299</v>
      </c>
      <c r="H746">
        <v>4.0654579573364202</v>
      </c>
      <c r="I746">
        <v>5.8739685956342997</v>
      </c>
      <c r="J746">
        <v>4.2362778375693404</v>
      </c>
      <c r="K746">
        <v>4.9248006181527204</v>
      </c>
      <c r="L746">
        <v>11511.491825360499</v>
      </c>
      <c r="M746">
        <v>250</v>
      </c>
      <c r="O746">
        <v>46.043020474840603</v>
      </c>
      <c r="P746">
        <v>0.67871307280255</v>
      </c>
      <c r="Q746">
        <v>1.5</v>
      </c>
      <c r="R746">
        <v>-0.88468859312225101</v>
      </c>
      <c r="S746" t="s">
        <v>2072</v>
      </c>
      <c r="T746" t="s">
        <v>2650</v>
      </c>
      <c r="U746" t="s">
        <v>2650</v>
      </c>
      <c r="V746" t="s">
        <v>2650</v>
      </c>
      <c r="W746" t="s">
        <v>3396</v>
      </c>
      <c r="X746">
        <v>1</v>
      </c>
      <c r="Y746" t="s">
        <v>4711</v>
      </c>
      <c r="Z746" t="s">
        <v>6026</v>
      </c>
      <c r="AA746">
        <v>1.3991934733313101</v>
      </c>
      <c r="AB746" t="str">
        <f>HYPERLINK("Melting_Curves/meltCurve_P63010_3_AP2B1.pdf", "Melting_Curves/meltCurve_P63010_3_AP2B1.pdf")</f>
        <v>Melting_Curves/meltCurve_P63010_3_AP2B1.pdf</v>
      </c>
    </row>
    <row r="747" spans="1:28" x14ac:dyDescent="0.25">
      <c r="A747" t="s">
        <v>751</v>
      </c>
      <c r="B747">
        <v>1</v>
      </c>
      <c r="C747">
        <v>0.80533235938641301</v>
      </c>
      <c r="D747">
        <v>1.2206674579985399</v>
      </c>
      <c r="E747">
        <v>1.85324598246896</v>
      </c>
      <c r="F747">
        <v>1.7327200511322101</v>
      </c>
      <c r="G747">
        <v>1.95884313367421</v>
      </c>
      <c r="H747">
        <v>1.73100803506209</v>
      </c>
      <c r="I747">
        <v>2.0092905405405399</v>
      </c>
      <c r="J747">
        <v>1.4986988677867099</v>
      </c>
      <c r="K747">
        <v>1.92247991234478</v>
      </c>
      <c r="L747">
        <v>11510.8443240092</v>
      </c>
      <c r="M747">
        <v>250</v>
      </c>
      <c r="O747">
        <v>46.040430615727097</v>
      </c>
      <c r="P747">
        <v>0.67875125137737502</v>
      </c>
      <c r="Q747">
        <v>1.5</v>
      </c>
      <c r="R747">
        <v>0.439079410895936</v>
      </c>
      <c r="S747" t="s">
        <v>2073</v>
      </c>
      <c r="T747" t="s">
        <v>2650</v>
      </c>
      <c r="U747" t="s">
        <v>2650</v>
      </c>
      <c r="V747" t="s">
        <v>2650</v>
      </c>
      <c r="W747" t="s">
        <v>3397</v>
      </c>
      <c r="X747">
        <v>9</v>
      </c>
      <c r="Y747" t="s">
        <v>4712</v>
      </c>
      <c r="Z747" t="s">
        <v>6027</v>
      </c>
      <c r="AA747">
        <v>1.3992366423607729</v>
      </c>
      <c r="AB747" t="str">
        <f>HYPERLINK("Melting_Curves/meltCurve_P63104_YWHAZ.pdf", "Melting_Curves/meltCurve_P63104_YWHAZ.pdf")</f>
        <v>Melting_Curves/meltCurve_P63104_YWHAZ.pdf</v>
      </c>
    </row>
    <row r="748" spans="1:28" x14ac:dyDescent="0.25">
      <c r="A748" t="s">
        <v>752</v>
      </c>
      <c r="B748">
        <v>1</v>
      </c>
      <c r="C748">
        <v>0.72600433004570597</v>
      </c>
      <c r="D748">
        <v>1.0610536444551399</v>
      </c>
      <c r="E748">
        <v>1.1784459947077199</v>
      </c>
      <c r="F748">
        <v>0.92278085157565504</v>
      </c>
      <c r="G748">
        <v>0.89997594419052196</v>
      </c>
      <c r="H748">
        <v>0.84974741400048104</v>
      </c>
      <c r="I748">
        <v>0.866105364445514</v>
      </c>
      <c r="J748">
        <v>0.70387298532595599</v>
      </c>
      <c r="K748">
        <v>0.74904979552561901</v>
      </c>
      <c r="L748">
        <v>970.61404203577297</v>
      </c>
      <c r="M748">
        <v>15.7689414253277</v>
      </c>
      <c r="O748">
        <v>60.587856163195703</v>
      </c>
      <c r="P748">
        <v>-1.9906561640572602E-2</v>
      </c>
      <c r="Q748">
        <v>0.694083196616052</v>
      </c>
      <c r="R748">
        <v>0.40121980584529998</v>
      </c>
      <c r="S748" t="s">
        <v>2074</v>
      </c>
      <c r="T748" t="s">
        <v>2650</v>
      </c>
      <c r="U748" t="s">
        <v>2650</v>
      </c>
      <c r="V748" t="s">
        <v>2650</v>
      </c>
      <c r="W748" t="s">
        <v>3398</v>
      </c>
      <c r="X748">
        <v>1</v>
      </c>
      <c r="Y748" t="s">
        <v>4713</v>
      </c>
      <c r="Z748" t="s">
        <v>6028</v>
      </c>
      <c r="AA748">
        <v>0.91412779172594683</v>
      </c>
      <c r="AB748" t="str">
        <f>HYPERLINK("Melting_Curves/meltCurve_P63173_RPL38.pdf", "Melting_Curves/meltCurve_P63173_RPL38.pdf")</f>
        <v>Melting_Curves/meltCurve_P63173_RPL38.pdf</v>
      </c>
    </row>
    <row r="749" spans="1:28" x14ac:dyDescent="0.25">
      <c r="A749" t="s">
        <v>753</v>
      </c>
      <c r="B749">
        <v>1</v>
      </c>
      <c r="C749">
        <v>0.62700657391836101</v>
      </c>
      <c r="D749">
        <v>1.1125210212505701</v>
      </c>
      <c r="E749">
        <v>1.1768460480048899</v>
      </c>
      <c r="F749">
        <v>0.82044029964837195</v>
      </c>
      <c r="G749">
        <v>0.82055496101513503</v>
      </c>
      <c r="H749">
        <v>0.76563216633542297</v>
      </c>
      <c r="I749">
        <v>0.77426998929827195</v>
      </c>
      <c r="J749">
        <v>0.46972939917443801</v>
      </c>
      <c r="K749">
        <v>0.68563675279009295</v>
      </c>
      <c r="L749">
        <v>915.55757047839904</v>
      </c>
      <c r="M749">
        <v>15.5084356346935</v>
      </c>
      <c r="O749">
        <v>58.080631407097201</v>
      </c>
      <c r="P749">
        <v>-2.8095755370425302E-2</v>
      </c>
      <c r="Q749">
        <v>0.57915171768385798</v>
      </c>
      <c r="R749">
        <v>0.41484193453100998</v>
      </c>
      <c r="S749" t="s">
        <v>2075</v>
      </c>
      <c r="T749" t="s">
        <v>2650</v>
      </c>
      <c r="U749" t="s">
        <v>2650</v>
      </c>
      <c r="V749" t="s">
        <v>2650</v>
      </c>
      <c r="W749" t="s">
        <v>3399</v>
      </c>
      <c r="X749">
        <v>1</v>
      </c>
      <c r="Y749" t="s">
        <v>4714</v>
      </c>
      <c r="Z749" t="s">
        <v>6029</v>
      </c>
      <c r="AA749">
        <v>0.85061802729440228</v>
      </c>
      <c r="AB749" t="str">
        <f>HYPERLINK("Melting_Curves/meltCurve_P63208_SKP1.pdf", "Melting_Curves/meltCurve_P63208_SKP1.pdf")</f>
        <v>Melting_Curves/meltCurve_P63208_SKP1.pdf</v>
      </c>
    </row>
    <row r="750" spans="1:28" x14ac:dyDescent="0.25">
      <c r="A750" t="s">
        <v>754</v>
      </c>
      <c r="B750">
        <v>1</v>
      </c>
      <c r="C750">
        <v>0.71637221582450905</v>
      </c>
      <c r="D750">
        <v>1.20765104064264</v>
      </c>
      <c r="E750">
        <v>1.31865292250653</v>
      </c>
      <c r="F750">
        <v>0.86664045164733305</v>
      </c>
      <c r="G750">
        <v>1.0109260455579601</v>
      </c>
      <c r="H750">
        <v>1.0604162570569899</v>
      </c>
      <c r="I750">
        <v>1.1711091761930199</v>
      </c>
      <c r="J750">
        <v>0.85217537847934199</v>
      </c>
      <c r="K750">
        <v>0.96986209027329195</v>
      </c>
      <c r="L750">
        <v>2208.85915981991</v>
      </c>
      <c r="M750">
        <v>32.589830469761701</v>
      </c>
      <c r="O750">
        <v>67.523890852370897</v>
      </c>
      <c r="P750">
        <v>-9.6325425039927096E-3</v>
      </c>
      <c r="Q750">
        <v>0.92016850807464501</v>
      </c>
      <c r="R750">
        <v>5.9493704315200001E-3</v>
      </c>
      <c r="S750" t="s">
        <v>2076</v>
      </c>
      <c r="T750" t="s">
        <v>2650</v>
      </c>
      <c r="U750" t="s">
        <v>2650</v>
      </c>
      <c r="V750" t="s">
        <v>2650</v>
      </c>
      <c r="W750" t="s">
        <v>3400</v>
      </c>
      <c r="X750">
        <v>1</v>
      </c>
      <c r="Y750" t="s">
        <v>4715</v>
      </c>
      <c r="Z750" t="s">
        <v>6030</v>
      </c>
      <c r="AA750">
        <v>0.9927206013825175</v>
      </c>
      <c r="AB750" t="str">
        <f>HYPERLINK("Melting_Curves/meltCurve_P63220_RPS21.pdf", "Melting_Curves/meltCurve_P63220_RPS21.pdf")</f>
        <v>Melting_Curves/meltCurve_P63220_RPS21.pdf</v>
      </c>
    </row>
    <row r="751" spans="1:28" x14ac:dyDescent="0.25">
      <c r="A751" t="s">
        <v>755</v>
      </c>
      <c r="B751">
        <v>1</v>
      </c>
      <c r="C751">
        <v>0.73646818837266603</v>
      </c>
      <c r="D751">
        <v>1.12682446453065</v>
      </c>
      <c r="E751">
        <v>1.3529701403298999</v>
      </c>
      <c r="F751">
        <v>0.926915907572187</v>
      </c>
      <c r="G751">
        <v>0.95417296803010598</v>
      </c>
      <c r="H751">
        <v>0.97203953153026401</v>
      </c>
      <c r="I751">
        <v>1.0551823585270601</v>
      </c>
      <c r="J751">
        <v>0.61122639186860295</v>
      </c>
      <c r="K751">
        <v>0.95477086484015095</v>
      </c>
      <c r="L751">
        <v>15000</v>
      </c>
      <c r="M751">
        <v>229.68637728928499</v>
      </c>
      <c r="O751">
        <v>65.301490581077204</v>
      </c>
      <c r="P751">
        <v>-0.19064519682623399</v>
      </c>
      <c r="Q751">
        <v>0.78319279237830397</v>
      </c>
      <c r="R751">
        <v>0.23056704282725099</v>
      </c>
      <c r="S751" t="s">
        <v>2077</v>
      </c>
      <c r="T751" t="s">
        <v>2650</v>
      </c>
      <c r="U751" t="s">
        <v>2650</v>
      </c>
      <c r="V751" t="s">
        <v>2650</v>
      </c>
      <c r="W751" t="s">
        <v>3401</v>
      </c>
      <c r="X751">
        <v>3</v>
      </c>
      <c r="Y751" t="s">
        <v>4716</v>
      </c>
      <c r="Z751" t="s">
        <v>6031</v>
      </c>
      <c r="AA751">
        <v>0.96610952979845854</v>
      </c>
      <c r="AB751" t="str">
        <f>HYPERLINK("Melting_Curves/meltCurve_P63241_EIF5A.pdf", "Melting_Curves/meltCurve_P63241_EIF5A.pdf")</f>
        <v>Melting_Curves/meltCurve_P63241_EIF5A.pdf</v>
      </c>
    </row>
    <row r="752" spans="1:28" x14ac:dyDescent="0.25">
      <c r="A752" t="s">
        <v>756</v>
      </c>
      <c r="B752">
        <v>1</v>
      </c>
      <c r="C752">
        <v>0.62516875879700096</v>
      </c>
      <c r="D752">
        <v>1.0020681929164399</v>
      </c>
      <c r="E752">
        <v>1.3718725763364299</v>
      </c>
      <c r="F752">
        <v>0.97760893918938296</v>
      </c>
      <c r="G752">
        <v>1.0908137764628201</v>
      </c>
      <c r="H752">
        <v>0.98144371355528104</v>
      </c>
      <c r="I752">
        <v>1.29958636141671</v>
      </c>
      <c r="J752">
        <v>0.68961307557521601</v>
      </c>
      <c r="K752">
        <v>0.97542584666647503</v>
      </c>
      <c r="L752">
        <v>1744.0735801875201</v>
      </c>
      <c r="M752">
        <v>25.535646159386101</v>
      </c>
      <c r="O752">
        <v>67.884829604990898</v>
      </c>
      <c r="P752">
        <v>-1.36632623419831E-2</v>
      </c>
      <c r="Q752">
        <v>0.85471027210273898</v>
      </c>
      <c r="R752">
        <v>2.7579949484276101E-2</v>
      </c>
      <c r="S752" t="s">
        <v>2078</v>
      </c>
      <c r="T752" t="s">
        <v>2650</v>
      </c>
      <c r="U752" t="s">
        <v>2650</v>
      </c>
      <c r="V752" t="s">
        <v>2650</v>
      </c>
      <c r="W752" t="s">
        <v>3402</v>
      </c>
      <c r="X752">
        <v>2</v>
      </c>
      <c r="Y752" t="s">
        <v>4717</v>
      </c>
      <c r="Z752" t="s">
        <v>6032</v>
      </c>
      <c r="AA752">
        <v>0.98701189023381908</v>
      </c>
      <c r="AB752" t="str">
        <f>HYPERLINK("Melting_Curves/meltCurve_P63244_RACK1.pdf", "Melting_Curves/meltCurve_P63244_RACK1.pdf")</f>
        <v>Melting_Curves/meltCurve_P63244_RACK1.pdf</v>
      </c>
    </row>
    <row r="753" spans="1:28" x14ac:dyDescent="0.25">
      <c r="A753" t="s">
        <v>757</v>
      </c>
      <c r="B753">
        <v>1</v>
      </c>
      <c r="C753">
        <v>0.77798551565555596</v>
      </c>
      <c r="D753">
        <v>1.2229170696065199</v>
      </c>
      <c r="E753">
        <v>1.57945973825027</v>
      </c>
      <c r="F753">
        <v>1.3408978574345101</v>
      </c>
      <c r="G753">
        <v>1.60417338233082</v>
      </c>
      <c r="H753">
        <v>1.4719661315625501</v>
      </c>
      <c r="I753">
        <v>1.7865170953946701</v>
      </c>
      <c r="J753">
        <v>1.2014054541938</v>
      </c>
      <c r="K753">
        <v>1.5857348548342001</v>
      </c>
      <c r="L753">
        <v>11510.005787210101</v>
      </c>
      <c r="M753">
        <v>250</v>
      </c>
      <c r="O753">
        <v>46.037076663039301</v>
      </c>
      <c r="P753">
        <v>0.678800700344796</v>
      </c>
      <c r="Q753">
        <v>1.5</v>
      </c>
      <c r="R753">
        <v>0.68679840867169994</v>
      </c>
      <c r="S753" t="s">
        <v>2079</v>
      </c>
      <c r="T753" t="s">
        <v>2650</v>
      </c>
      <c r="U753" t="s">
        <v>2650</v>
      </c>
      <c r="V753" t="s">
        <v>2650</v>
      </c>
      <c r="W753" t="s">
        <v>3403</v>
      </c>
      <c r="X753">
        <v>12</v>
      </c>
      <c r="Y753" t="s">
        <v>4718</v>
      </c>
      <c r="Z753" t="s">
        <v>6033</v>
      </c>
      <c r="AA753">
        <v>1.399292547757284</v>
      </c>
      <c r="AB753" t="str">
        <f>HYPERLINK("Melting_Curves/meltCurve_P63261_ACTG1.pdf", "Melting_Curves/meltCurve_P63261_ACTG1.pdf")</f>
        <v>Melting_Curves/meltCurve_P63261_ACTG1.pdf</v>
      </c>
    </row>
    <row r="754" spans="1:28" x14ac:dyDescent="0.25">
      <c r="A754" t="s">
        <v>758</v>
      </c>
      <c r="B754">
        <v>1</v>
      </c>
      <c r="C754">
        <v>0.98064047498736695</v>
      </c>
      <c r="D754">
        <v>1.5094113188478999</v>
      </c>
      <c r="E754">
        <v>2.03818216270844</v>
      </c>
      <c r="F754">
        <v>1.86587291561395</v>
      </c>
      <c r="G754">
        <v>2.0777854977261199</v>
      </c>
      <c r="H754">
        <v>1.76380116220313</v>
      </c>
      <c r="I754">
        <v>2.3675151591713002</v>
      </c>
      <c r="J754">
        <v>1.64508590197069</v>
      </c>
      <c r="K754">
        <v>2.22302930773118</v>
      </c>
      <c r="L754">
        <v>11116.33115468</v>
      </c>
      <c r="M754">
        <v>250</v>
      </c>
      <c r="O754">
        <v>44.462472626441198</v>
      </c>
      <c r="P754">
        <v>0.70283980190923501</v>
      </c>
      <c r="Q754">
        <v>1.5</v>
      </c>
      <c r="R754">
        <v>-4.4965785453862997E-2</v>
      </c>
      <c r="S754" t="s">
        <v>2080</v>
      </c>
      <c r="T754" t="s">
        <v>2650</v>
      </c>
      <c r="U754" t="s">
        <v>2650</v>
      </c>
      <c r="V754" t="s">
        <v>2650</v>
      </c>
      <c r="W754" t="s">
        <v>3404</v>
      </c>
      <c r="X754">
        <v>7</v>
      </c>
      <c r="Y754" t="s">
        <v>4719</v>
      </c>
      <c r="Z754" t="s">
        <v>6034</v>
      </c>
      <c r="AA754">
        <v>1.4255389050449949</v>
      </c>
      <c r="AB754" t="str">
        <f>HYPERLINK("Melting_Curves/meltCurve_P63267_ACTG2.pdf", "Melting_Curves/meltCurve_P63267_ACTG2.pdf")</f>
        <v>Melting_Curves/meltCurve_P63267_ACTG2.pdf</v>
      </c>
    </row>
    <row r="755" spans="1:28" x14ac:dyDescent="0.25">
      <c r="A755" t="s">
        <v>759</v>
      </c>
      <c r="B755">
        <v>1</v>
      </c>
      <c r="C755">
        <v>0.66390347133720695</v>
      </c>
      <c r="D755">
        <v>0.98667118755042105</v>
      </c>
      <c r="E755">
        <v>1.25922201826281</v>
      </c>
      <c r="F755">
        <v>1.05946521063031</v>
      </c>
      <c r="G755">
        <v>0.98851851418817005</v>
      </c>
      <c r="H755">
        <v>0.82009610775292596</v>
      </c>
      <c r="I755">
        <v>1.14187000900279</v>
      </c>
      <c r="J755">
        <v>0.61532345754071704</v>
      </c>
      <c r="K755">
        <v>0.98112920763717604</v>
      </c>
      <c r="L755">
        <v>1469.8608703335799</v>
      </c>
      <c r="M755">
        <v>23.858367128154999</v>
      </c>
      <c r="O755">
        <v>61.179854782474301</v>
      </c>
      <c r="P755">
        <v>-1.36324234884771E-2</v>
      </c>
      <c r="Q755">
        <v>0.860172137384421</v>
      </c>
      <c r="R755">
        <v>6.3404843052060095E-2</v>
      </c>
      <c r="S755" t="s">
        <v>2081</v>
      </c>
      <c r="T755" t="s">
        <v>2650</v>
      </c>
      <c r="U755" t="s">
        <v>2650</v>
      </c>
      <c r="V755" t="s">
        <v>2650</v>
      </c>
      <c r="W755" t="s">
        <v>3405</v>
      </c>
      <c r="X755">
        <v>1</v>
      </c>
      <c r="Y755" t="s">
        <v>4720</v>
      </c>
      <c r="Z755" t="s">
        <v>6035</v>
      </c>
      <c r="AA755">
        <v>0.96162316491338828</v>
      </c>
      <c r="AB755" t="str">
        <f>HYPERLINK("Melting_Curves/meltCurve_P67809_YBX1.pdf", "Melting_Curves/meltCurve_P67809_YBX1.pdf")</f>
        <v>Melting_Curves/meltCurve_P67809_YBX1.pdf</v>
      </c>
    </row>
    <row r="756" spans="1:28" x14ac:dyDescent="0.25">
      <c r="A756" t="s">
        <v>760</v>
      </c>
      <c r="B756">
        <v>1</v>
      </c>
      <c r="C756">
        <v>0.67650813482901895</v>
      </c>
      <c r="D756">
        <v>1.11472960860472</v>
      </c>
      <c r="E756">
        <v>1.2842436917728199</v>
      </c>
      <c r="F756">
        <v>0.84205665860879497</v>
      </c>
      <c r="G756">
        <v>0.92775076730857997</v>
      </c>
      <c r="H756">
        <v>0.85723986202026203</v>
      </c>
      <c r="I756">
        <v>0.93638808159274201</v>
      </c>
      <c r="J756">
        <v>0.56699350843360397</v>
      </c>
      <c r="K756">
        <v>0.84827661134801902</v>
      </c>
      <c r="L756">
        <v>1115.3685213461799</v>
      </c>
      <c r="M756">
        <v>18.2555963032639</v>
      </c>
      <c r="O756">
        <v>60.378370953769704</v>
      </c>
      <c r="P756">
        <v>-2.0811845791387E-2</v>
      </c>
      <c r="Q756">
        <v>0.72468130480872195</v>
      </c>
      <c r="R756">
        <v>0.226649708717654</v>
      </c>
      <c r="S756" t="s">
        <v>2082</v>
      </c>
      <c r="T756" t="s">
        <v>2650</v>
      </c>
      <c r="U756" t="s">
        <v>2650</v>
      </c>
      <c r="V756" t="s">
        <v>2650</v>
      </c>
      <c r="W756" t="s">
        <v>3406</v>
      </c>
      <c r="X756">
        <v>14</v>
      </c>
      <c r="Y756" t="s">
        <v>4721</v>
      </c>
      <c r="Z756" t="s">
        <v>6036</v>
      </c>
      <c r="AA756">
        <v>0.91970366014964611</v>
      </c>
      <c r="AB756" t="str">
        <f>HYPERLINK("Melting_Curves/meltCurve_P67936_2_TPM4.pdf", "Melting_Curves/meltCurve_P67936_2_TPM4.pdf")</f>
        <v>Melting_Curves/meltCurve_P67936_2_TPM4.pdf</v>
      </c>
    </row>
    <row r="757" spans="1:28" x14ac:dyDescent="0.25">
      <c r="A757" t="s">
        <v>761</v>
      </c>
      <c r="B757">
        <v>1</v>
      </c>
      <c r="C757">
        <v>0.91336563123396997</v>
      </c>
      <c r="D757">
        <v>0.95399132389728003</v>
      </c>
      <c r="E757">
        <v>1.3032202906811099</v>
      </c>
      <c r="F757">
        <v>1.2413951426490599</v>
      </c>
      <c r="G757">
        <v>1.20238434501757</v>
      </c>
      <c r="H757">
        <v>1.2558817010227701</v>
      </c>
      <c r="I757">
        <v>1.29470251100345</v>
      </c>
      <c r="J757">
        <v>0.99423704125898504</v>
      </c>
      <c r="K757">
        <v>1.0801272917260401</v>
      </c>
      <c r="L757">
        <v>11960.555038217701</v>
      </c>
      <c r="M757">
        <v>250</v>
      </c>
      <c r="O757">
        <v>47.839158659785603</v>
      </c>
      <c r="P757">
        <v>0.256056688728798</v>
      </c>
      <c r="Q757">
        <v>1.19599258432264</v>
      </c>
      <c r="R757">
        <v>0.55975596253834603</v>
      </c>
      <c r="S757" t="s">
        <v>2083</v>
      </c>
      <c r="T757" t="s">
        <v>2650</v>
      </c>
      <c r="U757" t="s">
        <v>2650</v>
      </c>
      <c r="V757" t="s">
        <v>2650</v>
      </c>
      <c r="W757" t="s">
        <v>3407</v>
      </c>
      <c r="X757">
        <v>3</v>
      </c>
      <c r="Y757" t="s">
        <v>4722</v>
      </c>
      <c r="Z757" t="s">
        <v>6037</v>
      </c>
      <c r="AA757">
        <v>1.144742228504722</v>
      </c>
      <c r="AB757" t="str">
        <f>HYPERLINK("Melting_Curves/meltCurve_P68366_2_TUBA4A.pdf", "Melting_Curves/meltCurve_P68366_2_TUBA4A.pdf")</f>
        <v>Melting_Curves/meltCurve_P68366_2_TUBA4A.pdf</v>
      </c>
    </row>
    <row r="758" spans="1:28" x14ac:dyDescent="0.25">
      <c r="A758" t="s">
        <v>762</v>
      </c>
      <c r="B758">
        <v>1</v>
      </c>
      <c r="C758">
        <v>0.72043542800593796</v>
      </c>
      <c r="D758">
        <v>0.97609104403760505</v>
      </c>
      <c r="E758">
        <v>1.2292528451261799</v>
      </c>
      <c r="F758">
        <v>1.3799901039089599</v>
      </c>
      <c r="G758">
        <v>1.01779317169718</v>
      </c>
      <c r="H758">
        <v>1.3088965858485899</v>
      </c>
      <c r="I758">
        <v>1.79837704106878</v>
      </c>
      <c r="J758">
        <v>1.27334982681841</v>
      </c>
      <c r="K758">
        <v>1.4493814943097501</v>
      </c>
      <c r="L758">
        <v>670.13896030672595</v>
      </c>
      <c r="M758">
        <v>12.210931546754001</v>
      </c>
      <c r="O758">
        <v>53.470623376129701</v>
      </c>
      <c r="P758">
        <v>2.8370526470614998E-2</v>
      </c>
      <c r="Q758">
        <v>1.4968164474821499</v>
      </c>
      <c r="R758">
        <v>0.51564925515389604</v>
      </c>
      <c r="S758" t="s">
        <v>2084</v>
      </c>
      <c r="T758" t="s">
        <v>2650</v>
      </c>
      <c r="U758" t="s">
        <v>2650</v>
      </c>
      <c r="V758" t="s">
        <v>2650</v>
      </c>
      <c r="W758" t="s">
        <v>3408</v>
      </c>
      <c r="X758">
        <v>1</v>
      </c>
      <c r="Y758" t="s">
        <v>4723</v>
      </c>
      <c r="Z758" t="s">
        <v>6038</v>
      </c>
      <c r="AA758">
        <v>1.238722503245288</v>
      </c>
      <c r="AB758" t="str">
        <f>HYPERLINK("Melting_Curves/meltCurve_P68402_3_PAFAH1B2.pdf", "Melting_Curves/meltCurve_P68402_3_PAFAH1B2.pdf")</f>
        <v>Melting_Curves/meltCurve_P68402_3_PAFAH1B2.pdf</v>
      </c>
    </row>
    <row r="759" spans="1:28" x14ac:dyDescent="0.25">
      <c r="A759" t="s">
        <v>763</v>
      </c>
      <c r="B759">
        <v>1</v>
      </c>
      <c r="C759">
        <v>0.76397050005995903</v>
      </c>
      <c r="D759">
        <v>0.90448495023384101</v>
      </c>
      <c r="E759">
        <v>1.1264839908862001</v>
      </c>
      <c r="F759">
        <v>0.88370907782707797</v>
      </c>
      <c r="G759">
        <v>0.99286485190070795</v>
      </c>
      <c r="H759">
        <v>0.88673701882719702</v>
      </c>
      <c r="I759">
        <v>1.01424031658472</v>
      </c>
      <c r="J759">
        <v>0.62045808849981998</v>
      </c>
      <c r="K759">
        <v>0.82584842307231099</v>
      </c>
      <c r="L759">
        <v>15000</v>
      </c>
      <c r="M759">
        <v>230.01810773197599</v>
      </c>
      <c r="O759">
        <v>65.207327579308597</v>
      </c>
      <c r="P759">
        <v>-0.24420954832359801</v>
      </c>
      <c r="Q759">
        <v>0.72307828894919002</v>
      </c>
      <c r="R759">
        <v>0.30600829396838902</v>
      </c>
      <c r="S759" t="s">
        <v>2085</v>
      </c>
      <c r="T759" t="s">
        <v>2650</v>
      </c>
      <c r="U759" t="s">
        <v>2650</v>
      </c>
      <c r="V759" t="s">
        <v>2650</v>
      </c>
      <c r="W759" t="s">
        <v>3409</v>
      </c>
      <c r="X759">
        <v>3</v>
      </c>
      <c r="Y759" t="s">
        <v>4724</v>
      </c>
      <c r="Z759" t="s">
        <v>6039</v>
      </c>
      <c r="AA759">
        <v>0.95584310827353602</v>
      </c>
      <c r="AB759" t="str">
        <f>HYPERLINK("Melting_Curves/meltCurve_P68871_HBB.pdf", "Melting_Curves/meltCurve_P68871_HBB.pdf")</f>
        <v>Melting_Curves/meltCurve_P68871_HBB.pdf</v>
      </c>
    </row>
    <row r="760" spans="1:28" x14ac:dyDescent="0.25">
      <c r="A760" t="s">
        <v>764</v>
      </c>
      <c r="B760">
        <v>1</v>
      </c>
      <c r="C760">
        <v>0.759647257489524</v>
      </c>
      <c r="D760">
        <v>1.06904747013572</v>
      </c>
      <c r="E760">
        <v>1.2900118831696801</v>
      </c>
      <c r="F760">
        <v>1.03564950903746</v>
      </c>
      <c r="G760">
        <v>1.12252173369191</v>
      </c>
      <c r="H760">
        <v>1.2417912314716399</v>
      </c>
      <c r="I760">
        <v>1.6771530427168699</v>
      </c>
      <c r="J760">
        <v>1.15704546875977</v>
      </c>
      <c r="K760">
        <v>1.49064982175245</v>
      </c>
      <c r="L760">
        <v>642.11745924212903</v>
      </c>
      <c r="M760">
        <v>10.999357792585201</v>
      </c>
      <c r="O760">
        <v>56.547684439827499</v>
      </c>
      <c r="P760">
        <v>2.4322546854183801E-2</v>
      </c>
      <c r="Q760">
        <v>1.5</v>
      </c>
      <c r="R760">
        <v>0.50882350013061395</v>
      </c>
      <c r="S760" t="s">
        <v>2086</v>
      </c>
      <c r="T760" t="s">
        <v>2650</v>
      </c>
      <c r="U760" t="s">
        <v>2650</v>
      </c>
      <c r="V760" t="s">
        <v>2650</v>
      </c>
      <c r="W760" t="s">
        <v>3410</v>
      </c>
      <c r="X760">
        <v>1</v>
      </c>
      <c r="Y760" t="s">
        <v>4725</v>
      </c>
      <c r="Z760" t="s">
        <v>6040</v>
      </c>
      <c r="AA760">
        <v>1.1889042541593839</v>
      </c>
      <c r="AB760" t="str">
        <f>HYPERLINK("Melting_Curves/meltCurve_P78371_2_CCT2.pdf", "Melting_Curves/meltCurve_P78371_2_CCT2.pdf")</f>
        <v>Melting_Curves/meltCurve_P78371_2_CCT2.pdf</v>
      </c>
    </row>
    <row r="761" spans="1:28" x14ac:dyDescent="0.25">
      <c r="A761" t="s">
        <v>765</v>
      </c>
      <c r="B761">
        <v>1</v>
      </c>
      <c r="C761">
        <v>0.86986089644513098</v>
      </c>
      <c r="D761">
        <v>1.2734466769706301</v>
      </c>
      <c r="E761">
        <v>1.8036476043276699</v>
      </c>
      <c r="F761">
        <v>1.4382689335394101</v>
      </c>
      <c r="G761">
        <v>1.63029366306028</v>
      </c>
      <c r="H761">
        <v>1.47140649149923</v>
      </c>
      <c r="I761">
        <v>1.85755795981453</v>
      </c>
      <c r="J761">
        <v>1.32377125193199</v>
      </c>
      <c r="K761">
        <v>1.7901700154559499</v>
      </c>
      <c r="L761">
        <v>11491.3461932154</v>
      </c>
      <c r="M761">
        <v>250</v>
      </c>
      <c r="O761">
        <v>45.962443421018101</v>
      </c>
      <c r="P761">
        <v>0.67990293373514499</v>
      </c>
      <c r="Q761">
        <v>1.5</v>
      </c>
      <c r="R761">
        <v>0.63562110966906105</v>
      </c>
      <c r="S761" t="s">
        <v>2087</v>
      </c>
      <c r="T761" t="s">
        <v>2650</v>
      </c>
      <c r="U761" t="s">
        <v>2650</v>
      </c>
      <c r="V761" t="s">
        <v>2650</v>
      </c>
      <c r="W761" t="s">
        <v>3411</v>
      </c>
      <c r="X761">
        <v>6</v>
      </c>
      <c r="Y761" t="s">
        <v>4726</v>
      </c>
      <c r="Z761" t="s">
        <v>6041</v>
      </c>
      <c r="AA761">
        <v>1.400536586184858</v>
      </c>
      <c r="AB761" t="str">
        <f>HYPERLINK("Melting_Curves/meltCurve_P78417_GSTO1.pdf", "Melting_Curves/meltCurve_P78417_GSTO1.pdf")</f>
        <v>Melting_Curves/meltCurve_P78417_GSTO1.pdf</v>
      </c>
    </row>
    <row r="762" spans="1:28" x14ac:dyDescent="0.25">
      <c r="A762" t="s">
        <v>766</v>
      </c>
      <c r="B762">
        <v>1</v>
      </c>
      <c r="C762">
        <v>0.82524705488247396</v>
      </c>
      <c r="D762">
        <v>1.36019764390598</v>
      </c>
      <c r="E762">
        <v>1.6908882809446699</v>
      </c>
      <c r="F762">
        <v>1.3127686896320701</v>
      </c>
      <c r="G762">
        <v>1.5393612863603401</v>
      </c>
      <c r="H762">
        <v>1.18407682429792</v>
      </c>
      <c r="I762">
        <v>1.72726257607057</v>
      </c>
      <c r="J762">
        <v>1.2385126458600899</v>
      </c>
      <c r="K762">
        <v>1.49123443693819</v>
      </c>
      <c r="L762">
        <v>11438.5344485402</v>
      </c>
      <c r="M762">
        <v>250</v>
      </c>
      <c r="O762">
        <v>45.751209855105401</v>
      </c>
      <c r="P762">
        <v>0.62139355718599598</v>
      </c>
      <c r="Q762">
        <v>1.4548721118441199</v>
      </c>
      <c r="R762">
        <v>0.58875720449478097</v>
      </c>
      <c r="S762" t="s">
        <v>2088</v>
      </c>
      <c r="T762" t="s">
        <v>2650</v>
      </c>
      <c r="U762" t="s">
        <v>2650</v>
      </c>
      <c r="V762" t="s">
        <v>2650</v>
      </c>
      <c r="W762" t="s">
        <v>3412</v>
      </c>
      <c r="X762">
        <v>1</v>
      </c>
      <c r="Y762" t="s">
        <v>4727</v>
      </c>
      <c r="Z762" t="s">
        <v>6042</v>
      </c>
      <c r="AA762">
        <v>1.367589026271975</v>
      </c>
      <c r="AB762" t="str">
        <f>HYPERLINK("Melting_Curves/meltCurve_P78537_2_BLOC1S1.pdf", "Melting_Curves/meltCurve_P78537_2_BLOC1S1.pdf")</f>
        <v>Melting_Curves/meltCurve_P78537_2_BLOC1S1.pdf</v>
      </c>
    </row>
    <row r="763" spans="1:28" x14ac:dyDescent="0.25">
      <c r="A763" t="s">
        <v>767</v>
      </c>
      <c r="B763">
        <v>1</v>
      </c>
      <c r="C763">
        <v>0.89579822165397804</v>
      </c>
      <c r="D763">
        <v>1.26660661358749</v>
      </c>
      <c r="E763">
        <v>1.54300575347242</v>
      </c>
      <c r="F763">
        <v>1.40230720055791</v>
      </c>
      <c r="G763">
        <v>1.4870111001336701</v>
      </c>
      <c r="H763">
        <v>1.3536060905445499</v>
      </c>
      <c r="I763">
        <v>1.5674725402452501</v>
      </c>
      <c r="J763">
        <v>1.15958621491254</v>
      </c>
      <c r="K763">
        <v>1.4623990236531601</v>
      </c>
      <c r="L763">
        <v>11476.0642422784</v>
      </c>
      <c r="M763">
        <v>250</v>
      </c>
      <c r="O763">
        <v>45.901319711057504</v>
      </c>
      <c r="P763">
        <v>0.57876252816058205</v>
      </c>
      <c r="Q763">
        <v>1.4250554181022601</v>
      </c>
      <c r="R763">
        <v>0.73537579581769097</v>
      </c>
      <c r="S763" t="s">
        <v>2089</v>
      </c>
      <c r="T763" t="s">
        <v>2650</v>
      </c>
      <c r="U763" t="s">
        <v>2650</v>
      </c>
      <c r="V763" t="s">
        <v>2650</v>
      </c>
      <c r="W763" t="s">
        <v>3413</v>
      </c>
      <c r="X763">
        <v>1</v>
      </c>
      <c r="Y763" t="s">
        <v>4728</v>
      </c>
      <c r="Z763" t="s">
        <v>6043</v>
      </c>
      <c r="AA763">
        <v>1.341366627950688</v>
      </c>
      <c r="AB763" t="str">
        <f>HYPERLINK("Melting_Curves/meltCurve_P78539_4_SRPX.pdf", "Melting_Curves/meltCurve_P78539_4_SRPX.pdf")</f>
        <v>Melting_Curves/meltCurve_P78539_4_SRPX.pdf</v>
      </c>
    </row>
    <row r="764" spans="1:28" x14ac:dyDescent="0.25">
      <c r="A764" t="s">
        <v>768</v>
      </c>
      <c r="B764">
        <v>1</v>
      </c>
      <c r="C764">
        <v>0.70430841478730999</v>
      </c>
      <c r="D764">
        <v>0.976519412439251</v>
      </c>
      <c r="E764">
        <v>1.0935401081199101</v>
      </c>
      <c r="F764">
        <v>1.0572271064271299</v>
      </c>
      <c r="G764">
        <v>1.03401954895429</v>
      </c>
      <c r="H764">
        <v>0.89876044340086303</v>
      </c>
      <c r="I764">
        <v>1.1323103806039401</v>
      </c>
      <c r="J764">
        <v>0.80292688254245603</v>
      </c>
      <c r="K764">
        <v>1.0700595205591701</v>
      </c>
      <c r="L764">
        <v>1.02517292711127E-5</v>
      </c>
      <c r="M764">
        <v>4.6021112981832299</v>
      </c>
      <c r="Q764">
        <v>0.97674417057590202</v>
      </c>
      <c r="R764">
        <v>-3.7995362411891198E-9</v>
      </c>
      <c r="S764" t="s">
        <v>2090</v>
      </c>
      <c r="T764" t="s">
        <v>2650</v>
      </c>
      <c r="U764" t="s">
        <v>2650</v>
      </c>
      <c r="V764" t="s">
        <v>2650</v>
      </c>
      <c r="W764" t="s">
        <v>3414</v>
      </c>
      <c r="X764">
        <v>1</v>
      </c>
      <c r="Y764" t="s">
        <v>4729</v>
      </c>
      <c r="Z764" t="s">
        <v>6044</v>
      </c>
      <c r="AA764">
        <v>0.97697512475590442</v>
      </c>
      <c r="AB764" t="str">
        <f>HYPERLINK("Melting_Curves/meltCurve_P80162_CXCL6.pdf", "Melting_Curves/meltCurve_P80162_CXCL6.pdf")</f>
        <v>Melting_Curves/meltCurve_P80162_CXCL6.pdf</v>
      </c>
    </row>
    <row r="765" spans="1:28" x14ac:dyDescent="0.25">
      <c r="A765" t="s">
        <v>769</v>
      </c>
      <c r="B765">
        <v>1</v>
      </c>
      <c r="C765">
        <v>0.83578119579044796</v>
      </c>
      <c r="D765">
        <v>1.1000115647045201</v>
      </c>
      <c r="E765">
        <v>1.1823753903087799</v>
      </c>
      <c r="F765">
        <v>1.09943332947843</v>
      </c>
      <c r="G765">
        <v>1.0425349832311801</v>
      </c>
      <c r="H765">
        <v>0.99107204810917104</v>
      </c>
      <c r="I765">
        <v>1.16616167456921</v>
      </c>
      <c r="J765">
        <v>0.78831964843298297</v>
      </c>
      <c r="K765">
        <v>1.0454724181797199</v>
      </c>
      <c r="L765">
        <v>1521.7784136697101</v>
      </c>
      <c r="M765">
        <v>22.504609262710598</v>
      </c>
      <c r="O765">
        <v>67.093594736634898</v>
      </c>
      <c r="P765">
        <v>-3.2372699968843898E-3</v>
      </c>
      <c r="Q765">
        <v>0.96139534531705595</v>
      </c>
      <c r="R765">
        <v>-3.5128998495629303E-2</v>
      </c>
      <c r="S765" t="s">
        <v>2091</v>
      </c>
      <c r="T765" t="s">
        <v>2650</v>
      </c>
      <c r="U765" t="s">
        <v>2650</v>
      </c>
      <c r="V765" t="s">
        <v>2650</v>
      </c>
      <c r="W765" t="s">
        <v>3415</v>
      </c>
      <c r="X765">
        <v>7</v>
      </c>
      <c r="Y765" t="s">
        <v>4730</v>
      </c>
      <c r="Z765" t="s">
        <v>6045</v>
      </c>
      <c r="AA765">
        <v>0.9957475893173382</v>
      </c>
      <c r="AB765" t="str">
        <f>HYPERLINK("Melting_Curves/meltCurve_P80188_LCN2.pdf", "Melting_Curves/meltCurve_P80188_LCN2.pdf")</f>
        <v>Melting_Curves/meltCurve_P80188_LCN2.pdf</v>
      </c>
    </row>
    <row r="766" spans="1:28" x14ac:dyDescent="0.25">
      <c r="A766" t="s">
        <v>770</v>
      </c>
      <c r="B766">
        <v>1</v>
      </c>
      <c r="C766">
        <v>0.73496405168068302</v>
      </c>
      <c r="D766">
        <v>1.10317565595734</v>
      </c>
      <c r="E766">
        <v>1.2811927944180601</v>
      </c>
      <c r="F766">
        <v>0.88716737855835304</v>
      </c>
      <c r="G766">
        <v>0.95338657045074704</v>
      </c>
      <c r="H766">
        <v>0.85177619186586395</v>
      </c>
      <c r="I766">
        <v>0.993845011010002</v>
      </c>
      <c r="J766">
        <v>0.57655267556310197</v>
      </c>
      <c r="K766">
        <v>0.84747831162284804</v>
      </c>
      <c r="L766">
        <v>1274.5278976628799</v>
      </c>
      <c r="M766">
        <v>20.345546383921601</v>
      </c>
      <c r="O766">
        <v>62.048321091859897</v>
      </c>
      <c r="P766">
        <v>-2.26253362562512E-2</v>
      </c>
      <c r="Q766">
        <v>0.72400426553081498</v>
      </c>
      <c r="R766">
        <v>0.25992205066665902</v>
      </c>
      <c r="S766" t="s">
        <v>2092</v>
      </c>
      <c r="T766" t="s">
        <v>2650</v>
      </c>
      <c r="U766" t="s">
        <v>2650</v>
      </c>
      <c r="V766" t="s">
        <v>2650</v>
      </c>
      <c r="W766" t="s">
        <v>3416</v>
      </c>
      <c r="X766">
        <v>35</v>
      </c>
      <c r="Y766" t="s">
        <v>4731</v>
      </c>
      <c r="Z766" t="s">
        <v>6046</v>
      </c>
      <c r="AA766">
        <v>0.93258866542526386</v>
      </c>
      <c r="AB766" t="str">
        <f>HYPERLINK("Melting_Curves/meltCurve_P80303_NUCB2.pdf", "Melting_Curves/meltCurve_P80303_NUCB2.pdf")</f>
        <v>Melting_Curves/meltCurve_P80303_NUCB2.pdf</v>
      </c>
    </row>
    <row r="767" spans="1:28" x14ac:dyDescent="0.25">
      <c r="A767" t="s">
        <v>771</v>
      </c>
      <c r="B767">
        <v>1</v>
      </c>
      <c r="C767">
        <v>0.71530617809040797</v>
      </c>
      <c r="D767">
        <v>1.1319046840067599</v>
      </c>
      <c r="E767">
        <v>1.40100332624462</v>
      </c>
      <c r="F767">
        <v>0.99994547139974899</v>
      </c>
      <c r="G767">
        <v>1.1565516113201399</v>
      </c>
      <c r="H767">
        <v>1.0108511914499201</v>
      </c>
      <c r="I767">
        <v>1.20410055073886</v>
      </c>
      <c r="J767">
        <v>0.71825072250395305</v>
      </c>
      <c r="K767">
        <v>1.0381154915753299</v>
      </c>
      <c r="L767">
        <v>1472.4622490112399</v>
      </c>
      <c r="M767">
        <v>21.677859940090901</v>
      </c>
      <c r="O767">
        <v>67.354600798436707</v>
      </c>
      <c r="P767">
        <v>-5.8673184386213301E-3</v>
      </c>
      <c r="Q767">
        <v>0.92708107280637697</v>
      </c>
      <c r="R767">
        <v>-2.6857216854398999E-2</v>
      </c>
      <c r="S767" t="s">
        <v>2093</v>
      </c>
      <c r="T767" t="s">
        <v>2650</v>
      </c>
      <c r="U767" t="s">
        <v>2650</v>
      </c>
      <c r="V767" t="s">
        <v>2650</v>
      </c>
      <c r="W767" t="s">
        <v>3417</v>
      </c>
      <c r="X767">
        <v>2</v>
      </c>
      <c r="Y767" t="s">
        <v>4732</v>
      </c>
      <c r="Z767" t="s">
        <v>6047</v>
      </c>
      <c r="AA767">
        <v>0.99230049694176847</v>
      </c>
      <c r="AB767" t="str">
        <f>HYPERLINK("Melting_Curves/meltCurve_P80511_S100A12.pdf", "Melting_Curves/meltCurve_P80511_S100A12.pdf")</f>
        <v>Melting_Curves/meltCurve_P80511_S100A12.pdf</v>
      </c>
    </row>
    <row r="768" spans="1:28" x14ac:dyDescent="0.25">
      <c r="A768" t="s">
        <v>772</v>
      </c>
      <c r="B768">
        <v>1</v>
      </c>
      <c r="C768">
        <v>0.58174527990130198</v>
      </c>
      <c r="D768">
        <v>1.2058778171884299</v>
      </c>
      <c r="E768">
        <v>1.45531052411271</v>
      </c>
      <c r="F768">
        <v>0.93077922936264901</v>
      </c>
      <c r="G768">
        <v>0.89925315591196497</v>
      </c>
      <c r="H768">
        <v>0.93738846907977402</v>
      </c>
      <c r="I768">
        <v>1.12482650745743</v>
      </c>
      <c r="J768">
        <v>0.49998898460047098</v>
      </c>
      <c r="K768">
        <v>0.91381551408869599</v>
      </c>
      <c r="L768">
        <v>15000</v>
      </c>
      <c r="M768">
        <v>229.378664265266</v>
      </c>
      <c r="O768">
        <v>65.389086645434901</v>
      </c>
      <c r="P768">
        <v>-0.25681748955240002</v>
      </c>
      <c r="Q768">
        <v>0.70715568798957495</v>
      </c>
      <c r="R768">
        <v>0.216153618415376</v>
      </c>
      <c r="S768" t="s">
        <v>2094</v>
      </c>
      <c r="T768" t="s">
        <v>2650</v>
      </c>
      <c r="U768" t="s">
        <v>2650</v>
      </c>
      <c r="V768" t="s">
        <v>2650</v>
      </c>
      <c r="W768" t="s">
        <v>3418</v>
      </c>
      <c r="X768">
        <v>3</v>
      </c>
      <c r="Y768" t="s">
        <v>4733</v>
      </c>
      <c r="Z768" t="s">
        <v>6048</v>
      </c>
      <c r="AA768">
        <v>0.95507905519741765</v>
      </c>
      <c r="AB768" t="str">
        <f>HYPERLINK("Melting_Curves/meltCurve_P80723_BASP1.pdf", "Melting_Curves/meltCurve_P80723_BASP1.pdf")</f>
        <v>Melting_Curves/meltCurve_P80723_BASP1.pdf</v>
      </c>
    </row>
    <row r="769" spans="1:28" x14ac:dyDescent="0.25">
      <c r="A769" t="s">
        <v>773</v>
      </c>
      <c r="B769">
        <v>1</v>
      </c>
      <c r="C769">
        <v>0.75883195810069703</v>
      </c>
      <c r="D769">
        <v>0.95147981619645206</v>
      </c>
      <c r="E769">
        <v>0.93423588121942802</v>
      </c>
      <c r="F769">
        <v>0.93389001432877095</v>
      </c>
      <c r="G769">
        <v>0.94337664904392504</v>
      </c>
      <c r="H769">
        <v>0.86659419931814796</v>
      </c>
      <c r="I769">
        <v>1.0004940955580801</v>
      </c>
      <c r="J769">
        <v>0.69326547754335699</v>
      </c>
      <c r="K769">
        <v>0.77938633331686302</v>
      </c>
      <c r="L769">
        <v>153.77859048079799</v>
      </c>
      <c r="M769">
        <v>0.69731881523235095</v>
      </c>
      <c r="O769">
        <v>57.888475446689398</v>
      </c>
      <c r="P769">
        <v>-4.9694787679560896E-3</v>
      </c>
      <c r="Q769">
        <v>0</v>
      </c>
      <c r="R769">
        <v>0.15517678841850999</v>
      </c>
      <c r="S769" t="s">
        <v>2095</v>
      </c>
      <c r="T769" t="s">
        <v>2650</v>
      </c>
      <c r="U769" t="s">
        <v>2650</v>
      </c>
      <c r="V769" t="s">
        <v>2650</v>
      </c>
      <c r="W769" t="s">
        <v>3419</v>
      </c>
      <c r="X769">
        <v>8</v>
      </c>
      <c r="Y769" t="s">
        <v>4734</v>
      </c>
      <c r="Z769" t="s">
        <v>6049</v>
      </c>
      <c r="AA769">
        <v>0.88999504483319025</v>
      </c>
      <c r="AB769" t="str">
        <f>HYPERLINK("Melting_Curves/meltCurve_P81605_DCD.pdf", "Melting_Curves/meltCurve_P81605_DCD.pdf")</f>
        <v>Melting_Curves/meltCurve_P81605_DCD.pdf</v>
      </c>
    </row>
    <row r="770" spans="1:28" x14ac:dyDescent="0.25">
      <c r="A770" t="s">
        <v>774</v>
      </c>
      <c r="B770">
        <v>1</v>
      </c>
      <c r="C770">
        <v>0.67453357755336896</v>
      </c>
      <c r="D770">
        <v>1.08346165691407</v>
      </c>
      <c r="E770">
        <v>1.1353638176130201</v>
      </c>
      <c r="F770">
        <v>0.91052469486003296</v>
      </c>
      <c r="G770">
        <v>1.0329210769455199</v>
      </c>
      <c r="H770">
        <v>0.84348305318269501</v>
      </c>
      <c r="I770">
        <v>0.97742045288768598</v>
      </c>
      <c r="J770">
        <v>0.58225406448057304</v>
      </c>
      <c r="K770">
        <v>0.79830774966365703</v>
      </c>
      <c r="L770">
        <v>15000</v>
      </c>
      <c r="M770">
        <v>231.85748572456501</v>
      </c>
      <c r="O770">
        <v>64.690101859571897</v>
      </c>
      <c r="P770">
        <v>-0.27753112415347497</v>
      </c>
      <c r="Q770">
        <v>0.69026635153238303</v>
      </c>
      <c r="R770">
        <v>0.34667128308592698</v>
      </c>
      <c r="S770" t="s">
        <v>2096</v>
      </c>
      <c r="T770" t="s">
        <v>2650</v>
      </c>
      <c r="U770" t="s">
        <v>2650</v>
      </c>
      <c r="V770" t="s">
        <v>2650</v>
      </c>
      <c r="W770" t="s">
        <v>3420</v>
      </c>
      <c r="X770">
        <v>8</v>
      </c>
      <c r="Y770" t="s">
        <v>4734</v>
      </c>
      <c r="Z770" t="s">
        <v>6050</v>
      </c>
      <c r="AA770">
        <v>0.94526876109082469</v>
      </c>
      <c r="AB770" t="str">
        <f>HYPERLINK("Melting_Curves/meltCurve_P81605_2_DCD.pdf", "Melting_Curves/meltCurve_P81605_2_DCD.pdf")</f>
        <v>Melting_Curves/meltCurve_P81605_2_DCD.pdf</v>
      </c>
    </row>
    <row r="771" spans="1:28" x14ac:dyDescent="0.25">
      <c r="A771" t="s">
        <v>775</v>
      </c>
      <c r="B771">
        <v>1</v>
      </c>
      <c r="C771">
        <v>0.78373920636460703</v>
      </c>
      <c r="D771">
        <v>1.15339089938876</v>
      </c>
      <c r="E771">
        <v>1.3049869021053699</v>
      </c>
      <c r="F771">
        <v>1.0889201513534501</v>
      </c>
      <c r="G771">
        <v>1.00601532938779</v>
      </c>
      <c r="H771">
        <v>0.92315901814301005</v>
      </c>
      <c r="I771">
        <v>1.19365479771029</v>
      </c>
      <c r="J771">
        <v>0.64592024837489104</v>
      </c>
      <c r="K771">
        <v>0.94819055011157505</v>
      </c>
      <c r="L771">
        <v>3624.7706172025901</v>
      </c>
      <c r="M771">
        <v>55.240143018427801</v>
      </c>
      <c r="O771">
        <v>65.532588995134901</v>
      </c>
      <c r="P771">
        <v>-3.5594417040727397E-2</v>
      </c>
      <c r="Q771">
        <v>0.83109436242069901</v>
      </c>
      <c r="R771">
        <v>0.147300602946035</v>
      </c>
      <c r="S771" t="s">
        <v>2097</v>
      </c>
      <c r="T771" t="s">
        <v>2650</v>
      </c>
      <c r="U771" t="s">
        <v>2650</v>
      </c>
      <c r="V771" t="s">
        <v>2650</v>
      </c>
      <c r="W771" t="s">
        <v>3421</v>
      </c>
      <c r="X771">
        <v>1</v>
      </c>
      <c r="Y771" t="s">
        <v>4735</v>
      </c>
      <c r="Z771" t="s">
        <v>6051</v>
      </c>
      <c r="AA771">
        <v>0.97548515159990357</v>
      </c>
      <c r="AB771" t="str">
        <f>HYPERLINK("Melting_Curves/meltCurve_P83731_RPL24.pdf", "Melting_Curves/meltCurve_P83731_RPL24.pdf")</f>
        <v>Melting_Curves/meltCurve_P83731_RPL24.pdf</v>
      </c>
    </row>
    <row r="772" spans="1:28" x14ac:dyDescent="0.25">
      <c r="A772" t="s">
        <v>776</v>
      </c>
      <c r="B772">
        <v>1</v>
      </c>
      <c r="C772">
        <v>0.76133084876172197</v>
      </c>
      <c r="D772">
        <v>1.1467900937725399</v>
      </c>
      <c r="E772">
        <v>1.4042438086078399</v>
      </c>
      <c r="F772">
        <v>1.0618237557105099</v>
      </c>
      <c r="G772">
        <v>1.27822192834816</v>
      </c>
      <c r="H772">
        <v>1.08842269776389</v>
      </c>
      <c r="I772">
        <v>1.2248136571291199</v>
      </c>
      <c r="J772">
        <v>0.87223491223851901</v>
      </c>
      <c r="K772">
        <v>1.1339264246213001</v>
      </c>
      <c r="L772">
        <v>11346.077198348399</v>
      </c>
      <c r="M772">
        <v>250</v>
      </c>
      <c r="O772">
        <v>45.381416464398399</v>
      </c>
      <c r="P772">
        <v>0.20927603819401799</v>
      </c>
      <c r="Q772">
        <v>1.1519558486452799</v>
      </c>
      <c r="R772">
        <v>0.27616034765519498</v>
      </c>
      <c r="S772" t="s">
        <v>2098</v>
      </c>
      <c r="T772" t="s">
        <v>2650</v>
      </c>
      <c r="U772" t="s">
        <v>2650</v>
      </c>
      <c r="V772" t="s">
        <v>2650</v>
      </c>
      <c r="W772" t="s">
        <v>3422</v>
      </c>
      <c r="X772">
        <v>16</v>
      </c>
      <c r="Y772" t="s">
        <v>4736</v>
      </c>
      <c r="Z772" t="s">
        <v>6052</v>
      </c>
      <c r="AA772">
        <v>1.1246711718154101</v>
      </c>
      <c r="AB772" t="str">
        <f>HYPERLINK("Melting_Curves/meltCurve_P98095_FBLN2.pdf", "Melting_Curves/meltCurve_P98095_FBLN2.pdf")</f>
        <v>Melting_Curves/meltCurve_P98095_FBLN2.pdf</v>
      </c>
    </row>
    <row r="773" spans="1:28" x14ac:dyDescent="0.25">
      <c r="A773" t="s">
        <v>777</v>
      </c>
      <c r="B773">
        <v>1</v>
      </c>
      <c r="C773">
        <v>0.77489483676432303</v>
      </c>
      <c r="D773">
        <v>1.1826552010820299</v>
      </c>
      <c r="E773">
        <v>1.5196863095459701</v>
      </c>
      <c r="F773">
        <v>1.3774832793557401</v>
      </c>
      <c r="G773">
        <v>1.48444576803286</v>
      </c>
      <c r="H773">
        <v>1.3288414051545501</v>
      </c>
      <c r="I773">
        <v>1.6313640819466699</v>
      </c>
      <c r="J773">
        <v>1.04872873469084</v>
      </c>
      <c r="K773">
        <v>1.3947312908709599</v>
      </c>
      <c r="L773">
        <v>11507.5515055744</v>
      </c>
      <c r="M773">
        <v>250</v>
      </c>
      <c r="O773">
        <v>46.027260151295899</v>
      </c>
      <c r="P773">
        <v>0.54030109634112999</v>
      </c>
      <c r="Q773">
        <v>1.39789726757677</v>
      </c>
      <c r="R773">
        <v>0.60458550285606705</v>
      </c>
      <c r="S773" t="s">
        <v>2099</v>
      </c>
      <c r="T773" t="s">
        <v>2650</v>
      </c>
      <c r="U773" t="s">
        <v>2650</v>
      </c>
      <c r="V773" t="s">
        <v>2650</v>
      </c>
      <c r="W773" t="s">
        <v>3423</v>
      </c>
      <c r="X773">
        <v>8</v>
      </c>
      <c r="Y773" t="s">
        <v>4737</v>
      </c>
      <c r="Z773" t="s">
        <v>6053</v>
      </c>
      <c r="AA773">
        <v>1.317885041215676</v>
      </c>
      <c r="AB773" t="str">
        <f>HYPERLINK("Melting_Curves/meltCurve_P98160_HSPG2.pdf", "Melting_Curves/meltCurve_P98160_HSPG2.pdf")</f>
        <v>Melting_Curves/meltCurve_P98160_HSPG2.pdf</v>
      </c>
    </row>
    <row r="774" spans="1:28" x14ac:dyDescent="0.25">
      <c r="A774" t="s">
        <v>778</v>
      </c>
      <c r="B774">
        <v>1</v>
      </c>
      <c r="C774">
        <v>0.84546292031322001</v>
      </c>
      <c r="D774">
        <v>1.16789497927222</v>
      </c>
      <c r="E774">
        <v>1.4191156149240001</v>
      </c>
      <c r="F774">
        <v>1.1698756333486899</v>
      </c>
      <c r="G774">
        <v>1.4383694150161199</v>
      </c>
      <c r="H774">
        <v>1.41976047904192</v>
      </c>
      <c r="I774">
        <v>1.4106402579456501</v>
      </c>
      <c r="J774">
        <v>1.0741593735605699</v>
      </c>
      <c r="K774">
        <v>1.4593274988484599</v>
      </c>
      <c r="L774">
        <v>11501.5667470632</v>
      </c>
      <c r="M774">
        <v>250</v>
      </c>
      <c r="O774">
        <v>46.003322852785999</v>
      </c>
      <c r="P774">
        <v>0.46410627999787601</v>
      </c>
      <c r="Q774">
        <v>1.3416068964811201</v>
      </c>
      <c r="R774">
        <v>0.61791080942793397</v>
      </c>
      <c r="S774" t="s">
        <v>2100</v>
      </c>
      <c r="T774" t="s">
        <v>2650</v>
      </c>
      <c r="U774" t="s">
        <v>2650</v>
      </c>
      <c r="V774" t="s">
        <v>2650</v>
      </c>
      <c r="W774" t="s">
        <v>3424</v>
      </c>
      <c r="X774">
        <v>1</v>
      </c>
      <c r="Y774" t="s">
        <v>4738</v>
      </c>
      <c r="Z774" t="s">
        <v>6054</v>
      </c>
      <c r="AA774">
        <v>1.273186574200643</v>
      </c>
      <c r="AB774" t="str">
        <f>HYPERLINK("Melting_Curves/meltCurve_P98172_EFNB1.pdf", "Melting_Curves/meltCurve_P98172_EFNB1.pdf")</f>
        <v>Melting_Curves/meltCurve_P98172_EFNB1.pdf</v>
      </c>
    </row>
    <row r="775" spans="1:28" x14ac:dyDescent="0.25">
      <c r="A775" t="s">
        <v>779</v>
      </c>
      <c r="B775">
        <v>1</v>
      </c>
      <c r="C775">
        <v>0.76462650602409599</v>
      </c>
      <c r="D775">
        <v>1.45975903614458</v>
      </c>
      <c r="E775">
        <v>1.91749397590361</v>
      </c>
      <c r="F775">
        <v>1.04231325301205</v>
      </c>
      <c r="G775">
        <v>1.2973493975903601</v>
      </c>
      <c r="H775">
        <v>1.3215421686747</v>
      </c>
      <c r="I775">
        <v>1.5980722891566299</v>
      </c>
      <c r="J775">
        <v>0.77734939759036104</v>
      </c>
      <c r="K775">
        <v>1.3686746987951799</v>
      </c>
      <c r="L775">
        <v>11117.0007637858</v>
      </c>
      <c r="M775">
        <v>250</v>
      </c>
      <c r="O775">
        <v>44.465139246833097</v>
      </c>
      <c r="P775">
        <v>0.48889859354498699</v>
      </c>
      <c r="Q775">
        <v>1.3478232471163101</v>
      </c>
      <c r="R775">
        <v>0.26658189174930003</v>
      </c>
      <c r="S775" t="s">
        <v>2101</v>
      </c>
      <c r="T775" t="s">
        <v>2650</v>
      </c>
      <c r="U775" t="s">
        <v>2650</v>
      </c>
      <c r="V775" t="s">
        <v>2650</v>
      </c>
      <c r="W775" t="s">
        <v>3425</v>
      </c>
      <c r="X775">
        <v>2</v>
      </c>
      <c r="Y775" t="s">
        <v>4739</v>
      </c>
      <c r="Z775" t="s">
        <v>6055</v>
      </c>
      <c r="AA775">
        <v>1.2959935917373591</v>
      </c>
      <c r="AB775" t="str">
        <f>HYPERLINK("Melting_Curves/meltCurve_Q00688_FKBP3.pdf", "Melting_Curves/meltCurve_Q00688_FKBP3.pdf")</f>
        <v>Melting_Curves/meltCurve_Q00688_FKBP3.pdf</v>
      </c>
    </row>
    <row r="776" spans="1:28" x14ac:dyDescent="0.25">
      <c r="A776" t="s">
        <v>780</v>
      </c>
      <c r="B776">
        <v>1</v>
      </c>
      <c r="C776">
        <v>0.71602354943963697</v>
      </c>
      <c r="D776">
        <v>1.1045183714002</v>
      </c>
      <c r="E776">
        <v>1.25553269967371</v>
      </c>
      <c r="F776">
        <v>1.15977443609023</v>
      </c>
      <c r="G776">
        <v>1.0939494963824701</v>
      </c>
      <c r="H776">
        <v>1.1258689175769601</v>
      </c>
      <c r="I776">
        <v>1.4344587884806399</v>
      </c>
      <c r="J776">
        <v>1.0059228259327599</v>
      </c>
      <c r="K776">
        <v>1.65867498936019</v>
      </c>
      <c r="L776">
        <v>495.97524840939502</v>
      </c>
      <c r="M776">
        <v>8.0709300691985106</v>
      </c>
      <c r="O776">
        <v>58.024237415273802</v>
      </c>
      <c r="P776">
        <v>1.7406000650914698E-2</v>
      </c>
      <c r="Q776">
        <v>1.5</v>
      </c>
      <c r="R776">
        <v>0.37827749289676899</v>
      </c>
      <c r="S776" t="s">
        <v>2102</v>
      </c>
      <c r="T776" t="s">
        <v>2650</v>
      </c>
      <c r="U776" t="s">
        <v>2650</v>
      </c>
      <c r="V776" t="s">
        <v>2650</v>
      </c>
      <c r="W776" t="s">
        <v>3426</v>
      </c>
      <c r="X776">
        <v>13</v>
      </c>
      <c r="Y776" t="s">
        <v>4740</v>
      </c>
      <c r="Z776" t="s">
        <v>6056</v>
      </c>
      <c r="AA776">
        <v>1.1574072535830271</v>
      </c>
      <c r="AB776" t="str">
        <f>HYPERLINK("Melting_Curves/meltCurve_Q00796_SORD.pdf", "Melting_Curves/meltCurve_Q00796_SORD.pdf")</f>
        <v>Melting_Curves/meltCurve_Q00796_SORD.pdf</v>
      </c>
    </row>
    <row r="777" spans="1:28" x14ac:dyDescent="0.25">
      <c r="A777" t="s">
        <v>781</v>
      </c>
      <c r="B777">
        <v>1</v>
      </c>
      <c r="C777">
        <v>0.82449207508268496</v>
      </c>
      <c r="D777">
        <v>1.2128774537176199</v>
      </c>
      <c r="E777">
        <v>1.4678063657059399</v>
      </c>
      <c r="F777">
        <v>1.21687212748593</v>
      </c>
      <c r="G777">
        <v>1.26270349211804</v>
      </c>
      <c r="H777">
        <v>1.17988918001804</v>
      </c>
      <c r="I777">
        <v>1.4906146643185401</v>
      </c>
      <c r="J777">
        <v>0.95837807654310403</v>
      </c>
      <c r="K777">
        <v>1.2309608693784599</v>
      </c>
      <c r="L777">
        <v>11428.8167613797</v>
      </c>
      <c r="M777">
        <v>250</v>
      </c>
      <c r="O777">
        <v>45.712341611002202</v>
      </c>
      <c r="P777">
        <v>0.352988614112557</v>
      </c>
      <c r="Q777">
        <v>1.2581749772848501</v>
      </c>
      <c r="R777">
        <v>0.43029955652370899</v>
      </c>
      <c r="S777" t="s">
        <v>2103</v>
      </c>
      <c r="T777" t="s">
        <v>2650</v>
      </c>
      <c r="U777" t="s">
        <v>2650</v>
      </c>
      <c r="V777" t="s">
        <v>2650</v>
      </c>
      <c r="W777" t="s">
        <v>3427</v>
      </c>
      <c r="X777">
        <v>6</v>
      </c>
      <c r="Y777" t="s">
        <v>4741</v>
      </c>
      <c r="Z777" t="s">
        <v>6057</v>
      </c>
      <c r="AA777">
        <v>1.2089696326925039</v>
      </c>
      <c r="AB777" t="str">
        <f>HYPERLINK("Melting_Curves/meltCurve_Q01082_SPTBN1.pdf", "Melting_Curves/meltCurve_Q01082_SPTBN1.pdf")</f>
        <v>Melting_Curves/meltCurve_Q01082_SPTBN1.pdf</v>
      </c>
    </row>
    <row r="778" spans="1:28" x14ac:dyDescent="0.25">
      <c r="A778" t="s">
        <v>782</v>
      </c>
      <c r="B778">
        <v>1</v>
      </c>
      <c r="C778">
        <v>0.82209019713745601</v>
      </c>
      <c r="D778">
        <v>1.19162840939779</v>
      </c>
      <c r="E778">
        <v>1.52876046448825</v>
      </c>
      <c r="F778">
        <v>1.4714015662976001</v>
      </c>
      <c r="G778">
        <v>2.0896570348366201</v>
      </c>
      <c r="H778">
        <v>2.0684850121523102</v>
      </c>
      <c r="I778">
        <v>2.5610045908722698</v>
      </c>
      <c r="J778">
        <v>1.5876316500134999</v>
      </c>
      <c r="K778">
        <v>2.2665946529840699</v>
      </c>
      <c r="L778">
        <v>11521.8843824697</v>
      </c>
      <c r="M778">
        <v>250</v>
      </c>
      <c r="O778">
        <v>46.084573827019298</v>
      </c>
      <c r="P778">
        <v>0.67810088333082996</v>
      </c>
      <c r="Q778">
        <v>1.5</v>
      </c>
      <c r="R778">
        <v>0.17685354660361599</v>
      </c>
      <c r="S778" t="s">
        <v>2104</v>
      </c>
      <c r="T778" t="s">
        <v>2650</v>
      </c>
      <c r="U778" t="s">
        <v>2650</v>
      </c>
      <c r="V778" t="s">
        <v>2650</v>
      </c>
      <c r="W778" t="s">
        <v>3428</v>
      </c>
      <c r="X778">
        <v>8</v>
      </c>
      <c r="Y778" t="s">
        <v>4742</v>
      </c>
      <c r="Z778" t="s">
        <v>6058</v>
      </c>
      <c r="AA778">
        <v>1.398500599713145</v>
      </c>
      <c r="AB778" t="str">
        <f>HYPERLINK("Melting_Curves/meltCurve_Q01459_CTBS.pdf", "Melting_Curves/meltCurve_Q01459_CTBS.pdf")</f>
        <v>Melting_Curves/meltCurve_Q01459_CTBS.pdf</v>
      </c>
    </row>
    <row r="779" spans="1:28" x14ac:dyDescent="0.25">
      <c r="A779" t="s">
        <v>783</v>
      </c>
      <c r="B779">
        <v>1</v>
      </c>
      <c r="C779">
        <v>0.57784352052406396</v>
      </c>
      <c r="D779">
        <v>1.3060647683448701</v>
      </c>
      <c r="E779">
        <v>1.5867716202652</v>
      </c>
      <c r="F779">
        <v>0.96473664747213295</v>
      </c>
      <c r="G779">
        <v>0.97044217866765303</v>
      </c>
      <c r="H779">
        <v>1.1771620265201499</v>
      </c>
      <c r="I779">
        <v>1.08051138464789</v>
      </c>
      <c r="J779">
        <v>0.55422896085371698</v>
      </c>
      <c r="K779">
        <v>0.992260552591262</v>
      </c>
      <c r="L779">
        <v>1906.2258981600601</v>
      </c>
      <c r="M779">
        <v>29.142368968653699</v>
      </c>
      <c r="O779">
        <v>65.105126227264805</v>
      </c>
      <c r="P779">
        <v>-2.1407768845821299E-2</v>
      </c>
      <c r="Q779">
        <v>0.80869841776514095</v>
      </c>
      <c r="R779">
        <v>5.31099889342894E-2</v>
      </c>
      <c r="S779" t="s">
        <v>2105</v>
      </c>
      <c r="T779" t="s">
        <v>2650</v>
      </c>
      <c r="U779" t="s">
        <v>2650</v>
      </c>
      <c r="V779" t="s">
        <v>2650</v>
      </c>
      <c r="W779" t="s">
        <v>3429</v>
      </c>
      <c r="X779">
        <v>4</v>
      </c>
      <c r="Y779" t="s">
        <v>4743</v>
      </c>
      <c r="Z779" t="s">
        <v>6059</v>
      </c>
      <c r="AA779">
        <v>0.96992197475255137</v>
      </c>
      <c r="AB779" t="str">
        <f>HYPERLINK("Melting_Curves/meltCurve_Q01469_FABP5.pdf", "Melting_Curves/meltCurve_Q01469_FABP5.pdf")</f>
        <v>Melting_Curves/meltCurve_Q01469_FABP5.pdf</v>
      </c>
    </row>
    <row r="780" spans="1:28" x14ac:dyDescent="0.25">
      <c r="A780" t="s">
        <v>784</v>
      </c>
      <c r="B780">
        <v>1</v>
      </c>
      <c r="C780">
        <v>0.76299412744324702</v>
      </c>
      <c r="D780">
        <v>1.1248137435358001</v>
      </c>
      <c r="E780">
        <v>1.5676220527653599</v>
      </c>
      <c r="F780">
        <v>1.4609518800946599</v>
      </c>
      <c r="G780">
        <v>1.71382242089578</v>
      </c>
      <c r="H780">
        <v>1.6950652993250901</v>
      </c>
      <c r="I780">
        <v>2.1058813217635199</v>
      </c>
      <c r="J780">
        <v>1.4797966517661501</v>
      </c>
      <c r="K780">
        <v>2.0039442545358899</v>
      </c>
      <c r="L780">
        <v>11550.6276024893</v>
      </c>
      <c r="M780">
        <v>250</v>
      </c>
      <c r="O780">
        <v>46.199561879889401</v>
      </c>
      <c r="P780">
        <v>0.67641346032860905</v>
      </c>
      <c r="Q780">
        <v>1.5</v>
      </c>
      <c r="R780">
        <v>0.53330593943459104</v>
      </c>
      <c r="S780" t="s">
        <v>2106</v>
      </c>
      <c r="T780" t="s">
        <v>2650</v>
      </c>
      <c r="U780" t="s">
        <v>2650</v>
      </c>
      <c r="V780" t="s">
        <v>2650</v>
      </c>
      <c r="W780" t="s">
        <v>3430</v>
      </c>
      <c r="X780">
        <v>10</v>
      </c>
      <c r="Y780" t="s">
        <v>4744</v>
      </c>
      <c r="Z780" t="s">
        <v>6060</v>
      </c>
      <c r="AA780">
        <v>1.3965842841573639</v>
      </c>
      <c r="AB780" t="str">
        <f>HYPERLINK("Melting_Curves/meltCurve_Q01518_2_CAP1.pdf", "Melting_Curves/meltCurve_Q01518_2_CAP1.pdf")</f>
        <v>Melting_Curves/meltCurve_Q01518_2_CAP1.pdf</v>
      </c>
    </row>
    <row r="781" spans="1:28" x14ac:dyDescent="0.25">
      <c r="A781" t="s">
        <v>785</v>
      </c>
      <c r="B781">
        <v>1</v>
      </c>
      <c r="C781">
        <v>0.76857904696370205</v>
      </c>
      <c r="D781">
        <v>1.0366420092895201</v>
      </c>
      <c r="E781">
        <v>1.1869086530191</v>
      </c>
      <c r="F781">
        <v>0.92929640461035601</v>
      </c>
      <c r="G781">
        <v>1.03698606571478</v>
      </c>
      <c r="H781">
        <v>0.90529846894890798</v>
      </c>
      <c r="I781">
        <v>0.99363495613280595</v>
      </c>
      <c r="J781">
        <v>0.72055737140891096</v>
      </c>
      <c r="K781">
        <v>0.94684328229829695</v>
      </c>
      <c r="L781">
        <v>2129.3220446066198</v>
      </c>
      <c r="M781">
        <v>34.041900531644998</v>
      </c>
      <c r="O781">
        <v>62.3353616466473</v>
      </c>
      <c r="P781">
        <v>-1.97313941284325E-2</v>
      </c>
      <c r="Q781">
        <v>0.85547707012371899</v>
      </c>
      <c r="R781">
        <v>0.15888010605014</v>
      </c>
      <c r="S781" t="s">
        <v>2107</v>
      </c>
      <c r="T781" t="s">
        <v>2650</v>
      </c>
      <c r="U781" t="s">
        <v>2650</v>
      </c>
      <c r="V781" t="s">
        <v>2650</v>
      </c>
      <c r="W781" t="s">
        <v>3431</v>
      </c>
      <c r="X781">
        <v>3</v>
      </c>
      <c r="Y781" t="s">
        <v>4745</v>
      </c>
      <c r="Z781" t="s">
        <v>6061</v>
      </c>
      <c r="AA781">
        <v>0.96466255766056008</v>
      </c>
      <c r="AB781" t="str">
        <f>HYPERLINK("Melting_Curves/meltCurve_Q01638_2_IL1RL1.pdf", "Melting_Curves/meltCurve_Q01638_2_IL1RL1.pdf")</f>
        <v>Melting_Curves/meltCurve_Q01638_2_IL1RL1.pdf</v>
      </c>
    </row>
    <row r="782" spans="1:28" x14ac:dyDescent="0.25">
      <c r="A782" t="s">
        <v>786</v>
      </c>
      <c r="B782">
        <v>1</v>
      </c>
      <c r="C782">
        <v>0.80423605677880805</v>
      </c>
      <c r="D782">
        <v>1.1724879847993701</v>
      </c>
      <c r="E782">
        <v>1.3396389851346799</v>
      </c>
      <c r="F782">
        <v>1.03422935062032</v>
      </c>
      <c r="G782">
        <v>1.1183636973287101</v>
      </c>
      <c r="H782">
        <v>0.99044372415334703</v>
      </c>
      <c r="I782">
        <v>1.0041913490555501</v>
      </c>
      <c r="J782">
        <v>0.81686598859953097</v>
      </c>
      <c r="K782">
        <v>1.0642114675310199</v>
      </c>
      <c r="L782">
        <v>15000</v>
      </c>
      <c r="M782">
        <v>230.69530677261599</v>
      </c>
      <c r="O782">
        <v>65.015942276280001</v>
      </c>
      <c r="P782">
        <v>-5.2653389901663801E-2</v>
      </c>
      <c r="Q782">
        <v>0.94064361688468401</v>
      </c>
      <c r="R782">
        <v>-2.1553773185203799E-2</v>
      </c>
      <c r="S782" t="s">
        <v>2108</v>
      </c>
      <c r="T782" t="s">
        <v>2650</v>
      </c>
      <c r="U782" t="s">
        <v>2650</v>
      </c>
      <c r="V782" t="s">
        <v>2650</v>
      </c>
      <c r="W782" t="s">
        <v>3432</v>
      </c>
      <c r="X782">
        <v>1</v>
      </c>
      <c r="Y782" t="s">
        <v>4746</v>
      </c>
      <c r="Z782" t="s">
        <v>6062</v>
      </c>
      <c r="AA782">
        <v>0.99015643426529287</v>
      </c>
      <c r="AB782" t="str">
        <f>HYPERLINK("Melting_Curves/meltCurve_Q01974_ROR2.pdf", "Melting_Curves/meltCurve_Q01974_ROR2.pdf")</f>
        <v>Melting_Curves/meltCurve_Q01974_ROR2.pdf</v>
      </c>
    </row>
    <row r="783" spans="1:28" x14ac:dyDescent="0.25">
      <c r="A783" t="s">
        <v>787</v>
      </c>
      <c r="B783">
        <v>1</v>
      </c>
      <c r="C783">
        <v>1.09982558213554</v>
      </c>
      <c r="D783">
        <v>1.89147898710326</v>
      </c>
      <c r="E783">
        <v>2.4874279094045599</v>
      </c>
      <c r="F783">
        <v>2.7560568831400301</v>
      </c>
      <c r="G783">
        <v>3.46060320572396</v>
      </c>
      <c r="H783">
        <v>2.8925356792748298</v>
      </c>
      <c r="I783">
        <v>3.9736718143277301</v>
      </c>
      <c r="J783">
        <v>2.7507097661272901</v>
      </c>
      <c r="K783">
        <v>3.3986021108380999</v>
      </c>
      <c r="L783">
        <v>10784.5654050703</v>
      </c>
      <c r="M783">
        <v>250</v>
      </c>
      <c r="O783">
        <v>43.135501061495603</v>
      </c>
      <c r="P783">
        <v>0.72446127366995505</v>
      </c>
      <c r="Q783">
        <v>1.5</v>
      </c>
      <c r="R783">
        <v>-1.2693515393733099</v>
      </c>
      <c r="S783" t="s">
        <v>2109</v>
      </c>
      <c r="T783" t="s">
        <v>2650</v>
      </c>
      <c r="U783" t="s">
        <v>2650</v>
      </c>
      <c r="V783" t="s">
        <v>2650</v>
      </c>
      <c r="W783" t="s">
        <v>3433</v>
      </c>
      <c r="X783">
        <v>1</v>
      </c>
      <c r="Y783" t="s">
        <v>4747</v>
      </c>
      <c r="Z783" t="s">
        <v>6063</v>
      </c>
      <c r="AA783">
        <v>1.447657786165657</v>
      </c>
      <c r="AB783" t="str">
        <f>HYPERLINK("Melting_Curves/meltCurve_Q02083_2_NAAA.pdf", "Melting_Curves/meltCurve_Q02083_2_NAAA.pdf")</f>
        <v>Melting_Curves/meltCurve_Q02083_2_NAAA.pdf</v>
      </c>
    </row>
    <row r="784" spans="1:28" x14ac:dyDescent="0.25">
      <c r="A784" t="s">
        <v>788</v>
      </c>
      <c r="B784">
        <v>1</v>
      </c>
      <c r="C784">
        <v>0.65037236243276797</v>
      </c>
      <c r="D784">
        <v>1.0761274306992099</v>
      </c>
      <c r="E784">
        <v>1.16018480209626</v>
      </c>
      <c r="F784">
        <v>0.80485450282719595</v>
      </c>
      <c r="G784">
        <v>0.89608329885533</v>
      </c>
      <c r="H784">
        <v>0.89946214315266904</v>
      </c>
      <c r="I784">
        <v>0.93704316645979902</v>
      </c>
      <c r="J784">
        <v>0.52119018066473599</v>
      </c>
      <c r="K784">
        <v>0.80609571093642296</v>
      </c>
      <c r="L784">
        <v>404.35822071690399</v>
      </c>
      <c r="M784">
        <v>4.8814027854924404</v>
      </c>
      <c r="Q784">
        <v>0</v>
      </c>
      <c r="R784">
        <v>0.18371598209797599</v>
      </c>
      <c r="S784" t="s">
        <v>2110</v>
      </c>
      <c r="T784" t="s">
        <v>2650</v>
      </c>
      <c r="U784" t="s">
        <v>2650</v>
      </c>
      <c r="V784" t="s">
        <v>2650</v>
      </c>
      <c r="W784" t="s">
        <v>3434</v>
      </c>
      <c r="X784">
        <v>76</v>
      </c>
      <c r="Y784" t="s">
        <v>4748</v>
      </c>
      <c r="Z784" t="s">
        <v>6064</v>
      </c>
      <c r="AA784">
        <v>0.89719541141825399</v>
      </c>
      <c r="AB784" t="str">
        <f>HYPERLINK("Melting_Curves/meltCurve_Q02383_SEMG2.pdf", "Melting_Curves/meltCurve_Q02383_SEMG2.pdf")</f>
        <v>Melting_Curves/meltCurve_Q02383_SEMG2.pdf</v>
      </c>
    </row>
    <row r="785" spans="1:28" x14ac:dyDescent="0.25">
      <c r="A785" t="s">
        <v>789</v>
      </c>
      <c r="B785">
        <v>1</v>
      </c>
      <c r="C785">
        <v>0.66441306089743601</v>
      </c>
      <c r="D785">
        <v>1.49784655448718</v>
      </c>
      <c r="E785">
        <v>1.5845352564102599</v>
      </c>
      <c r="F785">
        <v>1.0458733974359</v>
      </c>
      <c r="G785">
        <v>1.9341446314102599</v>
      </c>
      <c r="H785">
        <v>1.31059695512821</v>
      </c>
      <c r="I785">
        <v>1.2840544871794899</v>
      </c>
      <c r="J785">
        <v>0.89162660256410298</v>
      </c>
      <c r="K785">
        <v>1.08223157051282</v>
      </c>
      <c r="L785">
        <v>11115.778307041801</v>
      </c>
      <c r="M785">
        <v>250</v>
      </c>
      <c r="O785">
        <v>44.460267878927802</v>
      </c>
      <c r="P785">
        <v>0.46230005520193301</v>
      </c>
      <c r="Q785">
        <v>1.3288637483663801</v>
      </c>
      <c r="R785">
        <v>0.27158273677697797</v>
      </c>
      <c r="S785" t="s">
        <v>2111</v>
      </c>
      <c r="T785" t="s">
        <v>2650</v>
      </c>
      <c r="U785" t="s">
        <v>2650</v>
      </c>
      <c r="V785" t="s">
        <v>2650</v>
      </c>
      <c r="W785" t="s">
        <v>3435</v>
      </c>
      <c r="X785">
        <v>3</v>
      </c>
      <c r="Y785" t="s">
        <v>4749</v>
      </c>
      <c r="Z785" t="s">
        <v>6065</v>
      </c>
      <c r="AA785">
        <v>1.279912881593493</v>
      </c>
      <c r="AB785" t="str">
        <f>HYPERLINK("Melting_Curves/meltCurve_Q02413_DSG1.pdf", "Melting_Curves/meltCurve_Q02413_DSG1.pdf")</f>
        <v>Melting_Curves/meltCurve_Q02413_DSG1.pdf</v>
      </c>
    </row>
    <row r="786" spans="1:28" x14ac:dyDescent="0.25">
      <c r="A786" t="s">
        <v>790</v>
      </c>
      <c r="B786">
        <v>1</v>
      </c>
      <c r="C786">
        <v>0.69022437481466803</v>
      </c>
      <c r="D786">
        <v>1.1509670192085899</v>
      </c>
      <c r="E786">
        <v>1.2614246647556899</v>
      </c>
      <c r="F786">
        <v>0.89656024513195598</v>
      </c>
      <c r="G786">
        <v>0.924565912161049</v>
      </c>
      <c r="H786">
        <v>0.92441764686501304</v>
      </c>
      <c r="I786">
        <v>1.0076109518631999</v>
      </c>
      <c r="J786">
        <v>0.58047510790418799</v>
      </c>
      <c r="K786">
        <v>0.89586834041712005</v>
      </c>
      <c r="L786">
        <v>15000</v>
      </c>
      <c r="M786">
        <v>230.414077074479</v>
      </c>
      <c r="O786">
        <v>65.095285632700794</v>
      </c>
      <c r="P786">
        <v>-0.23165788497155099</v>
      </c>
      <c r="Q786">
        <v>0.73821328641468897</v>
      </c>
      <c r="R786">
        <v>0.26254441177750798</v>
      </c>
      <c r="S786" t="s">
        <v>2112</v>
      </c>
      <c r="T786" t="s">
        <v>2650</v>
      </c>
      <c r="U786" t="s">
        <v>2650</v>
      </c>
      <c r="V786" t="s">
        <v>2650</v>
      </c>
      <c r="W786" t="s">
        <v>3436</v>
      </c>
      <c r="X786">
        <v>4</v>
      </c>
      <c r="Y786" t="s">
        <v>4750</v>
      </c>
      <c r="Z786" t="s">
        <v>6066</v>
      </c>
      <c r="AA786">
        <v>0.95727836502159147</v>
      </c>
      <c r="AB786" t="str">
        <f>HYPERLINK("Melting_Curves/meltCurve_Q02487_2_DSC2.pdf", "Melting_Curves/meltCurve_Q02487_2_DSC2.pdf")</f>
        <v>Melting_Curves/meltCurve_Q02487_2_DSC2.pdf</v>
      </c>
    </row>
    <row r="787" spans="1:28" x14ac:dyDescent="0.25">
      <c r="A787" t="s">
        <v>791</v>
      </c>
      <c r="B787">
        <v>1</v>
      </c>
      <c r="C787">
        <v>0.735611510791367</v>
      </c>
      <c r="D787">
        <v>1.13449240607514</v>
      </c>
      <c r="E787">
        <v>1.36467492672529</v>
      </c>
      <c r="F787">
        <v>1.0814015454303201</v>
      </c>
      <c r="G787">
        <v>1.4238609112709799</v>
      </c>
      <c r="H787">
        <v>1.5989208633093499</v>
      </c>
      <c r="I787">
        <v>2.1088462563282699</v>
      </c>
      <c r="J787">
        <v>1.37013722355449</v>
      </c>
      <c r="K787">
        <v>1.93791633359979</v>
      </c>
      <c r="L787">
        <v>1042.08630104453</v>
      </c>
      <c r="M787">
        <v>20.364786921497299</v>
      </c>
      <c r="O787">
        <v>50.685235072501101</v>
      </c>
      <c r="P787">
        <v>5.0225186808809101E-2</v>
      </c>
      <c r="Q787">
        <v>1.5</v>
      </c>
      <c r="R787">
        <v>0.512120737268426</v>
      </c>
      <c r="S787" t="s">
        <v>2113</v>
      </c>
      <c r="T787" t="s">
        <v>2650</v>
      </c>
      <c r="U787" t="s">
        <v>2650</v>
      </c>
      <c r="V787" t="s">
        <v>2650</v>
      </c>
      <c r="W787" t="s">
        <v>3437</v>
      </c>
      <c r="X787">
        <v>4</v>
      </c>
      <c r="Y787" t="s">
        <v>4751</v>
      </c>
      <c r="Z787" t="s">
        <v>6067</v>
      </c>
      <c r="AA787">
        <v>1.3071088565982969</v>
      </c>
      <c r="AB787" t="str">
        <f>HYPERLINK("Melting_Curves/meltCurve_Q02790_FKBP4.pdf", "Melting_Curves/meltCurve_Q02790_FKBP4.pdf")</f>
        <v>Melting_Curves/meltCurve_Q02790_FKBP4.pdf</v>
      </c>
    </row>
    <row r="788" spans="1:28" x14ac:dyDescent="0.25">
      <c r="A788" t="s">
        <v>792</v>
      </c>
      <c r="B788">
        <v>1</v>
      </c>
      <c r="C788">
        <v>0.81550643867898198</v>
      </c>
      <c r="D788">
        <v>1.1276902286205699</v>
      </c>
      <c r="E788">
        <v>1.3593263120274299</v>
      </c>
      <c r="F788">
        <v>1.0955582608307199</v>
      </c>
      <c r="G788">
        <v>1.34201503289143</v>
      </c>
      <c r="H788">
        <v>1.35709259859053</v>
      </c>
      <c r="I788">
        <v>1.9563979137116501</v>
      </c>
      <c r="J788">
        <v>1.5378000156359899</v>
      </c>
      <c r="K788">
        <v>2.0738912404927601</v>
      </c>
      <c r="L788">
        <v>922.04537494393605</v>
      </c>
      <c r="M788">
        <v>17.792558265124001</v>
      </c>
      <c r="O788">
        <v>51.180647690251</v>
      </c>
      <c r="P788">
        <v>4.3457532300903497E-2</v>
      </c>
      <c r="Q788">
        <v>1.5</v>
      </c>
      <c r="R788">
        <v>0.51609051714062704</v>
      </c>
      <c r="S788" t="s">
        <v>2114</v>
      </c>
      <c r="T788" t="s">
        <v>2650</v>
      </c>
      <c r="U788" t="s">
        <v>2650</v>
      </c>
      <c r="V788" t="s">
        <v>2650</v>
      </c>
      <c r="W788" t="s">
        <v>3438</v>
      </c>
      <c r="X788">
        <v>5</v>
      </c>
      <c r="Y788" t="s">
        <v>4752</v>
      </c>
      <c r="Z788" t="s">
        <v>6068</v>
      </c>
      <c r="AA788">
        <v>1.294458985147243</v>
      </c>
      <c r="AB788" t="str">
        <f>HYPERLINK("Melting_Curves/meltCurve_Q02809_PLOD1.pdf", "Melting_Curves/meltCurve_Q02809_PLOD1.pdf")</f>
        <v>Melting_Curves/meltCurve_Q02809_PLOD1.pdf</v>
      </c>
    </row>
    <row r="789" spans="1:28" x14ac:dyDescent="0.25">
      <c r="A789" t="s">
        <v>793</v>
      </c>
      <c r="B789">
        <v>1</v>
      </c>
      <c r="C789">
        <v>0.752628259041211</v>
      </c>
      <c r="D789">
        <v>1.0798990748528201</v>
      </c>
      <c r="E789">
        <v>1.26634777123633</v>
      </c>
      <c r="F789">
        <v>0.91663162321278402</v>
      </c>
      <c r="G789">
        <v>1.0005256518082399</v>
      </c>
      <c r="H789">
        <v>0.88593355761143799</v>
      </c>
      <c r="I789">
        <v>1.0375841042893199</v>
      </c>
      <c r="J789">
        <v>0.66805088309503802</v>
      </c>
      <c r="K789">
        <v>0.91442388561816701</v>
      </c>
      <c r="L789">
        <v>15000</v>
      </c>
      <c r="M789">
        <v>229.70533329196499</v>
      </c>
      <c r="O789">
        <v>65.296110517914599</v>
      </c>
      <c r="P789">
        <v>-0.18355011935475801</v>
      </c>
      <c r="Q789">
        <v>0.79129596621956499</v>
      </c>
      <c r="R789">
        <v>0.25147869247278498</v>
      </c>
      <c r="S789" t="s">
        <v>2115</v>
      </c>
      <c r="T789" t="s">
        <v>2650</v>
      </c>
      <c r="U789" t="s">
        <v>2650</v>
      </c>
      <c r="V789" t="s">
        <v>2650</v>
      </c>
      <c r="W789" t="s">
        <v>3439</v>
      </c>
      <c r="X789">
        <v>30</v>
      </c>
      <c r="Y789" t="s">
        <v>4753</v>
      </c>
      <c r="Z789" t="s">
        <v>6069</v>
      </c>
      <c r="AA789">
        <v>0.96733868757942276</v>
      </c>
      <c r="AB789" t="str">
        <f>HYPERLINK("Melting_Curves/meltCurve_Q02818_NUCB1.pdf", "Melting_Curves/meltCurve_Q02818_NUCB1.pdf")</f>
        <v>Melting_Curves/meltCurve_Q02818_NUCB1.pdf</v>
      </c>
    </row>
    <row r="790" spans="1:28" x14ac:dyDescent="0.25">
      <c r="A790" t="s">
        <v>794</v>
      </c>
      <c r="B790">
        <v>1</v>
      </c>
      <c r="C790">
        <v>0.67196236797727904</v>
      </c>
      <c r="D790">
        <v>0.99556226147155402</v>
      </c>
      <c r="E790">
        <v>1.2814857548593199</v>
      </c>
      <c r="F790">
        <v>0.91279843791603799</v>
      </c>
      <c r="G790">
        <v>0.91648176089464795</v>
      </c>
      <c r="H790">
        <v>0.83420608857726097</v>
      </c>
      <c r="I790">
        <v>0.97004526493299004</v>
      </c>
      <c r="J790">
        <v>0.60078104198100601</v>
      </c>
      <c r="K790">
        <v>0.73981539007721697</v>
      </c>
      <c r="L790">
        <v>1011.19929259833</v>
      </c>
      <c r="M790">
        <v>15.6217649434146</v>
      </c>
      <c r="O790">
        <v>63.697269986837398</v>
      </c>
      <c r="P790">
        <v>-2.4901178530391099E-2</v>
      </c>
      <c r="Q790">
        <v>0.59389974200957696</v>
      </c>
      <c r="R790">
        <v>0.27775218684474801</v>
      </c>
      <c r="S790" t="s">
        <v>2116</v>
      </c>
      <c r="T790" t="s">
        <v>2650</v>
      </c>
      <c r="U790" t="s">
        <v>2650</v>
      </c>
      <c r="V790" t="s">
        <v>2650</v>
      </c>
      <c r="W790" t="s">
        <v>3440</v>
      </c>
      <c r="X790">
        <v>1</v>
      </c>
      <c r="Y790" t="s">
        <v>4754</v>
      </c>
      <c r="Z790" t="s">
        <v>6070</v>
      </c>
      <c r="AA790">
        <v>0.92019088987669873</v>
      </c>
      <c r="AB790" t="str">
        <f>HYPERLINK("Melting_Curves/meltCurve_Q02878_RPL6.pdf", "Melting_Curves/meltCurve_Q02878_RPL6.pdf")</f>
        <v>Melting_Curves/meltCurve_Q02878_RPL6.pdf</v>
      </c>
    </row>
    <row r="791" spans="1:28" x14ac:dyDescent="0.25">
      <c r="A791" t="s">
        <v>795</v>
      </c>
      <c r="B791">
        <v>1</v>
      </c>
      <c r="C791">
        <v>0.81404527453708697</v>
      </c>
      <c r="D791">
        <v>1.1096141496307399</v>
      </c>
      <c r="E791">
        <v>1.4141603339398501</v>
      </c>
      <c r="F791">
        <v>1.12411698597881</v>
      </c>
      <c r="G791">
        <v>1.2438590388526201</v>
      </c>
      <c r="H791">
        <v>1.06007171144172</v>
      </c>
      <c r="I791">
        <v>1.32834742588034</v>
      </c>
      <c r="J791">
        <v>0.84992775339826598</v>
      </c>
      <c r="K791">
        <v>1.2047923579150199</v>
      </c>
      <c r="L791">
        <v>11476.2613274594</v>
      </c>
      <c r="M791">
        <v>250</v>
      </c>
      <c r="O791">
        <v>45.9021080179078</v>
      </c>
      <c r="P791">
        <v>0.238332429969353</v>
      </c>
      <c r="Q791">
        <v>1.17503937366393</v>
      </c>
      <c r="R791">
        <v>0.280466813665044</v>
      </c>
      <c r="S791" t="s">
        <v>2117</v>
      </c>
      <c r="T791" t="s">
        <v>2650</v>
      </c>
      <c r="U791" t="s">
        <v>2650</v>
      </c>
      <c r="V791" t="s">
        <v>2650</v>
      </c>
      <c r="W791" t="s">
        <v>3441</v>
      </c>
      <c r="X791">
        <v>3</v>
      </c>
      <c r="Y791" t="s">
        <v>4755</v>
      </c>
      <c r="Z791" t="s">
        <v>6071</v>
      </c>
      <c r="AA791">
        <v>1.140571424280169</v>
      </c>
      <c r="AB791" t="str">
        <f>HYPERLINK("Melting_Curves/meltCurve_Q03167_2_TGFBR3.pdf", "Melting_Curves/meltCurve_Q03167_2_TGFBR3.pdf")</f>
        <v>Melting_Curves/meltCurve_Q03167_2_TGFBR3.pdf</v>
      </c>
    </row>
    <row r="792" spans="1:28" x14ac:dyDescent="0.25">
      <c r="A792" t="s">
        <v>796</v>
      </c>
      <c r="B792">
        <v>1</v>
      </c>
      <c r="C792">
        <v>0.71231500703140704</v>
      </c>
      <c r="D792">
        <v>1.18174512823947</v>
      </c>
      <c r="E792">
        <v>1.5834058795955299</v>
      </c>
      <c r="F792">
        <v>1.4224871090872599</v>
      </c>
      <c r="G792">
        <v>1.7579856693229801</v>
      </c>
      <c r="H792">
        <v>2.0024777338779902</v>
      </c>
      <c r="I792">
        <v>2.3025513962365198</v>
      </c>
      <c r="J792">
        <v>1.64662157637447</v>
      </c>
      <c r="K792">
        <v>2.26605504587156</v>
      </c>
      <c r="L792">
        <v>11525.771376415199</v>
      </c>
      <c r="M792">
        <v>250</v>
      </c>
      <c r="O792">
        <v>46.100154442227499</v>
      </c>
      <c r="P792">
        <v>0.677872197265738</v>
      </c>
      <c r="Q792">
        <v>1.5</v>
      </c>
      <c r="R792">
        <v>0.32760591315308701</v>
      </c>
      <c r="S792" t="s">
        <v>2118</v>
      </c>
      <c r="T792" t="s">
        <v>2650</v>
      </c>
      <c r="U792" t="s">
        <v>2650</v>
      </c>
      <c r="V792" t="s">
        <v>2650</v>
      </c>
      <c r="W792" t="s">
        <v>3442</v>
      </c>
      <c r="X792">
        <v>1</v>
      </c>
      <c r="Y792" t="s">
        <v>4756</v>
      </c>
      <c r="Z792" t="s">
        <v>6072</v>
      </c>
      <c r="AA792">
        <v>1.398241453140217</v>
      </c>
      <c r="AB792" t="str">
        <f>HYPERLINK("Melting_Curves/meltCurve_Q03393_PTS.pdf", "Melting_Curves/meltCurve_Q03393_PTS.pdf")</f>
        <v>Melting_Curves/meltCurve_Q03393_PTS.pdf</v>
      </c>
    </row>
    <row r="793" spans="1:28" x14ac:dyDescent="0.25">
      <c r="A793" t="s">
        <v>797</v>
      </c>
      <c r="B793">
        <v>1</v>
      </c>
      <c r="C793">
        <v>0.63196494464944697</v>
      </c>
      <c r="D793">
        <v>1.1026291512915101</v>
      </c>
      <c r="E793">
        <v>1.28833025830258</v>
      </c>
      <c r="F793">
        <v>0.83436346863468602</v>
      </c>
      <c r="G793">
        <v>0.96886531365313699</v>
      </c>
      <c r="H793">
        <v>0.89847785977859795</v>
      </c>
      <c r="I793">
        <v>1.0260147601476</v>
      </c>
      <c r="J793">
        <v>0.647924354243542</v>
      </c>
      <c r="K793">
        <v>0.82869003690036902</v>
      </c>
      <c r="L793">
        <v>15000</v>
      </c>
      <c r="M793">
        <v>229.715580311671</v>
      </c>
      <c r="O793">
        <v>65.293175783150204</v>
      </c>
      <c r="P793">
        <v>-0.230274459860174</v>
      </c>
      <c r="Q793">
        <v>0.73819182647982495</v>
      </c>
      <c r="R793">
        <v>0.21259872630438301</v>
      </c>
      <c r="S793" t="s">
        <v>2119</v>
      </c>
      <c r="T793" t="s">
        <v>2650</v>
      </c>
      <c r="U793" t="s">
        <v>2650</v>
      </c>
      <c r="V793" t="s">
        <v>2650</v>
      </c>
      <c r="W793" t="s">
        <v>3443</v>
      </c>
      <c r="X793">
        <v>2</v>
      </c>
      <c r="Y793" t="s">
        <v>4757</v>
      </c>
      <c r="Z793" t="s">
        <v>6073</v>
      </c>
      <c r="AA793">
        <v>0.9590026852378124</v>
      </c>
      <c r="AB793" t="str">
        <f>HYPERLINK("Melting_Curves/meltCurve_Q03405_2_PLAUR.pdf", "Melting_Curves/meltCurve_Q03405_2_PLAUR.pdf")</f>
        <v>Melting_Curves/meltCurve_Q03405_2_PLAUR.pdf</v>
      </c>
    </row>
    <row r="794" spans="1:28" x14ac:dyDescent="0.25">
      <c r="A794" t="s">
        <v>798</v>
      </c>
      <c r="B794">
        <v>1</v>
      </c>
      <c r="C794">
        <v>0.73859049984476899</v>
      </c>
      <c r="D794">
        <v>1.17513970816517</v>
      </c>
      <c r="E794">
        <v>1.60322881092828</v>
      </c>
      <c r="F794">
        <v>1.34360447066129</v>
      </c>
      <c r="G794">
        <v>1.17754579323192</v>
      </c>
      <c r="H794">
        <v>0.84391493325054301</v>
      </c>
      <c r="I794">
        <v>1.33238900962434</v>
      </c>
      <c r="J794">
        <v>0.58821018317292795</v>
      </c>
      <c r="K794">
        <v>1.2402592362620299</v>
      </c>
      <c r="L794">
        <v>15000</v>
      </c>
      <c r="M794">
        <v>214.20691711331301</v>
      </c>
      <c r="Q794">
        <v>1.5</v>
      </c>
      <c r="R794">
        <v>-5.8972374631435197E-2</v>
      </c>
      <c r="S794" t="s">
        <v>2120</v>
      </c>
      <c r="T794" t="s">
        <v>2650</v>
      </c>
      <c r="U794" t="s">
        <v>2650</v>
      </c>
      <c r="V794" t="s">
        <v>2650</v>
      </c>
      <c r="W794" t="s">
        <v>3444</v>
      </c>
      <c r="X794">
        <v>2</v>
      </c>
      <c r="Y794" t="s">
        <v>4758</v>
      </c>
      <c r="Z794" t="s">
        <v>6074</v>
      </c>
      <c r="AA794">
        <v>1.003525011796085</v>
      </c>
      <c r="AB794" t="str">
        <f>HYPERLINK("Melting_Curves/meltCurve_Q03591_CFHR1.pdf", "Melting_Curves/meltCurve_Q03591_CFHR1.pdf")</f>
        <v>Melting_Curves/meltCurve_Q03591_CFHR1.pdf</v>
      </c>
    </row>
    <row r="795" spans="1:28" x14ac:dyDescent="0.25">
      <c r="A795" t="s">
        <v>799</v>
      </c>
      <c r="B795">
        <v>1</v>
      </c>
      <c r="C795">
        <v>0.77825803294731699</v>
      </c>
      <c r="D795">
        <v>1.1105039960854699</v>
      </c>
      <c r="E795">
        <v>1.37628445604306</v>
      </c>
      <c r="F795">
        <v>1.1266922198662499</v>
      </c>
      <c r="G795">
        <v>1.16074049910292</v>
      </c>
      <c r="H795">
        <v>1.2623144674604501</v>
      </c>
      <c r="I795">
        <v>1.6859810797585999</v>
      </c>
      <c r="J795">
        <v>1.12322622736911</v>
      </c>
      <c r="K795">
        <v>1.4730468112869</v>
      </c>
      <c r="L795">
        <v>564.60131764287598</v>
      </c>
      <c r="M795">
        <v>10.6639668628519</v>
      </c>
      <c r="O795">
        <v>51.184780280781297</v>
      </c>
      <c r="P795">
        <v>2.1924431175870202E-2</v>
      </c>
      <c r="Q795">
        <v>1.4207705884295101</v>
      </c>
      <c r="R795">
        <v>0.44356016333798698</v>
      </c>
      <c r="S795" t="s">
        <v>2121</v>
      </c>
      <c r="T795" t="s">
        <v>2650</v>
      </c>
      <c r="U795" t="s">
        <v>2650</v>
      </c>
      <c r="V795" t="s">
        <v>2650</v>
      </c>
      <c r="W795" t="s">
        <v>3445</v>
      </c>
      <c r="X795">
        <v>5</v>
      </c>
      <c r="Y795" t="s">
        <v>4759</v>
      </c>
      <c r="Z795" t="s">
        <v>6075</v>
      </c>
      <c r="AA795">
        <v>1.2255837410498771</v>
      </c>
      <c r="AB795" t="str">
        <f>HYPERLINK("Melting_Curves/meltCurve_Q04609_6_FOLH1.pdf", "Melting_Curves/meltCurve_Q04609_6_FOLH1.pdf")</f>
        <v>Melting_Curves/meltCurve_Q04609_6_FOLH1.pdf</v>
      </c>
    </row>
    <row r="796" spans="1:28" x14ac:dyDescent="0.25">
      <c r="A796" t="s">
        <v>800</v>
      </c>
      <c r="B796">
        <v>1</v>
      </c>
      <c r="C796">
        <v>0.77518613005674997</v>
      </c>
      <c r="D796">
        <v>1.0906440360285301</v>
      </c>
      <c r="E796">
        <v>1.1484875305878099</v>
      </c>
      <c r="F796">
        <v>1.0137970531577001</v>
      </c>
      <c r="G796">
        <v>1.1114177122923901</v>
      </c>
      <c r="H796">
        <v>1.0722132555838999</v>
      </c>
      <c r="I796">
        <v>1.2593845993648101</v>
      </c>
      <c r="J796">
        <v>0.88915499557453004</v>
      </c>
      <c r="K796">
        <v>1.09730827302546</v>
      </c>
      <c r="L796">
        <v>11183.263257721601</v>
      </c>
      <c r="M796">
        <v>250</v>
      </c>
      <c r="O796">
        <v>44.730189880418997</v>
      </c>
      <c r="P796">
        <v>0.11920149196735801</v>
      </c>
      <c r="Q796">
        <v>1.08531048683009</v>
      </c>
      <c r="R796">
        <v>0.22353985448056701</v>
      </c>
      <c r="S796" t="s">
        <v>2122</v>
      </c>
      <c r="T796" t="s">
        <v>2650</v>
      </c>
      <c r="U796" t="s">
        <v>2650</v>
      </c>
      <c r="V796" t="s">
        <v>2650</v>
      </c>
      <c r="W796" t="s">
        <v>3446</v>
      </c>
      <c r="X796">
        <v>3</v>
      </c>
      <c r="Y796" t="s">
        <v>4760</v>
      </c>
      <c r="Z796" t="s">
        <v>6076</v>
      </c>
      <c r="AA796">
        <v>1.071844487519142</v>
      </c>
      <c r="AB796" t="str">
        <f>HYPERLINK("Melting_Curves/meltCurve_Q04637_6_EIF4G1.pdf", "Melting_Curves/meltCurve_Q04637_6_EIF4G1.pdf")</f>
        <v>Melting_Curves/meltCurve_Q04637_6_EIF4G1.pdf</v>
      </c>
    </row>
    <row r="797" spans="1:28" x14ac:dyDescent="0.25">
      <c r="A797" t="s">
        <v>801</v>
      </c>
      <c r="B797">
        <v>1</v>
      </c>
      <c r="C797">
        <v>0.74904131785039196</v>
      </c>
      <c r="D797">
        <v>1.04663786119363</v>
      </c>
      <c r="E797">
        <v>1.01693221712125</v>
      </c>
      <c r="F797">
        <v>1.0442344045368599</v>
      </c>
      <c r="G797">
        <v>0.94609775857412903</v>
      </c>
      <c r="H797">
        <v>0.97623548474210098</v>
      </c>
      <c r="I797">
        <v>1.06843100189036</v>
      </c>
      <c r="J797">
        <v>0.89670537402106398</v>
      </c>
      <c r="K797">
        <v>0.94833918444504495</v>
      </c>
      <c r="L797">
        <v>1.0000000000000001E-5</v>
      </c>
      <c r="M797">
        <v>1.0000000000000001E-5</v>
      </c>
      <c r="Q797">
        <v>0.93853122250894805</v>
      </c>
      <c r="R797">
        <v>-1.7017289799525801E-9</v>
      </c>
      <c r="S797" t="s">
        <v>2123</v>
      </c>
      <c r="T797" t="s">
        <v>2650</v>
      </c>
      <c r="U797" t="s">
        <v>2650</v>
      </c>
      <c r="V797" t="s">
        <v>2650</v>
      </c>
      <c r="W797" t="s">
        <v>3447</v>
      </c>
      <c r="X797">
        <v>1</v>
      </c>
      <c r="Y797" t="s">
        <v>4761</v>
      </c>
      <c r="Z797" t="s">
        <v>6077</v>
      </c>
      <c r="AA797">
        <v>0.96926546044910522</v>
      </c>
      <c r="AB797" t="str">
        <f>HYPERLINK("Melting_Curves/meltCurve_Q04756_HGFAC.pdf", "Melting_Curves/meltCurve_Q04756_HGFAC.pdf")</f>
        <v>Melting_Curves/meltCurve_Q04756_HGFAC.pdf</v>
      </c>
    </row>
    <row r="798" spans="1:28" x14ac:dyDescent="0.25">
      <c r="A798" t="s">
        <v>802</v>
      </c>
      <c r="B798">
        <v>1</v>
      </c>
      <c r="C798">
        <v>0.83073242346800102</v>
      </c>
      <c r="D798">
        <v>1.2654559295307499</v>
      </c>
      <c r="E798">
        <v>1.73704529389375</v>
      </c>
      <c r="F798">
        <v>1.4767005600565499</v>
      </c>
      <c r="G798">
        <v>1.82475123701811</v>
      </c>
      <c r="H798">
        <v>1.81077701049426</v>
      </c>
      <c r="I798">
        <v>2.32363656136154</v>
      </c>
      <c r="J798">
        <v>1.6652710564950199</v>
      </c>
      <c r="K798">
        <v>2.2018378554727902</v>
      </c>
      <c r="L798">
        <v>11494.304958492799</v>
      </c>
      <c r="M798">
        <v>250</v>
      </c>
      <c r="O798">
        <v>45.974277610252003</v>
      </c>
      <c r="P798">
        <v>0.67972791896054197</v>
      </c>
      <c r="Q798">
        <v>1.5</v>
      </c>
      <c r="R798">
        <v>0.286023972260804</v>
      </c>
      <c r="S798" t="s">
        <v>2124</v>
      </c>
      <c r="T798" t="s">
        <v>2650</v>
      </c>
      <c r="U798" t="s">
        <v>2650</v>
      </c>
      <c r="V798" t="s">
        <v>2650</v>
      </c>
      <c r="W798" t="s">
        <v>3448</v>
      </c>
      <c r="X798">
        <v>8</v>
      </c>
      <c r="Y798" t="s">
        <v>4762</v>
      </c>
      <c r="Z798" t="s">
        <v>6078</v>
      </c>
      <c r="AA798">
        <v>1.4003393247811911</v>
      </c>
      <c r="AB798" t="str">
        <f>HYPERLINK("Melting_Curves/meltCurve_Q04760_2_GLO1.pdf", "Melting_Curves/meltCurve_Q04760_2_GLO1.pdf")</f>
        <v>Melting_Curves/meltCurve_Q04760_2_GLO1.pdf</v>
      </c>
    </row>
    <row r="799" spans="1:28" x14ac:dyDescent="0.25">
      <c r="A799" t="s">
        <v>803</v>
      </c>
      <c r="B799">
        <v>1</v>
      </c>
      <c r="C799">
        <v>0.727367055771725</v>
      </c>
      <c r="D799">
        <v>1.10172317954419</v>
      </c>
      <c r="E799">
        <v>1.3427089123587199</v>
      </c>
      <c r="F799">
        <v>0.84180100055586404</v>
      </c>
      <c r="G799">
        <v>1.0227163238836401</v>
      </c>
      <c r="H799">
        <v>0.93414860107467101</v>
      </c>
      <c r="I799">
        <v>0.98554752640355803</v>
      </c>
      <c r="J799">
        <v>0.64950898647396704</v>
      </c>
      <c r="K799">
        <v>0.95301093199925901</v>
      </c>
      <c r="L799">
        <v>15000</v>
      </c>
      <c r="M799">
        <v>231.88208776101899</v>
      </c>
      <c r="O799">
        <v>64.683239790174298</v>
      </c>
      <c r="P799">
        <v>-0.178097527364352</v>
      </c>
      <c r="Q799">
        <v>0.80127961013807103</v>
      </c>
      <c r="R799">
        <v>0.17672639069436</v>
      </c>
      <c r="S799" t="s">
        <v>2125</v>
      </c>
      <c r="T799" t="s">
        <v>2650</v>
      </c>
      <c r="U799" t="s">
        <v>2650</v>
      </c>
      <c r="V799" t="s">
        <v>2650</v>
      </c>
      <c r="W799" t="s">
        <v>3449</v>
      </c>
      <c r="X799">
        <v>1</v>
      </c>
      <c r="Y799" t="s">
        <v>4763</v>
      </c>
      <c r="Z799" t="s">
        <v>6079</v>
      </c>
      <c r="AA799">
        <v>0.96483979575165058</v>
      </c>
      <c r="AB799" t="str">
        <f>HYPERLINK("Melting_Curves/meltCurve_Q04771_ACVR1.pdf", "Melting_Curves/meltCurve_Q04771_ACVR1.pdf")</f>
        <v>Melting_Curves/meltCurve_Q04771_ACVR1.pdf</v>
      </c>
    </row>
    <row r="800" spans="1:28" x14ac:dyDescent="0.25">
      <c r="A800" t="s">
        <v>804</v>
      </c>
      <c r="B800">
        <v>1</v>
      </c>
      <c r="C800">
        <v>0.64875169105890995</v>
      </c>
      <c r="D800">
        <v>1.1209568318780001</v>
      </c>
      <c r="E800">
        <v>1.26394354937892</v>
      </c>
      <c r="F800">
        <v>0.81319948345836901</v>
      </c>
      <c r="G800">
        <v>1.1249846267371799</v>
      </c>
      <c r="H800">
        <v>1.1923656376829399</v>
      </c>
      <c r="I800">
        <v>1.3936016480137701</v>
      </c>
      <c r="J800">
        <v>0.71494896076743297</v>
      </c>
      <c r="K800">
        <v>1.23637928914033</v>
      </c>
      <c r="L800">
        <v>781.58988513378097</v>
      </c>
      <c r="M800">
        <v>15.0209404324817</v>
      </c>
      <c r="O800">
        <v>51.137253001365004</v>
      </c>
      <c r="P800">
        <v>9.2137828867105802E-3</v>
      </c>
      <c r="Q800">
        <v>1.1254569144769799</v>
      </c>
      <c r="R800">
        <v>8.4961492964879301E-2</v>
      </c>
      <c r="S800" t="s">
        <v>2126</v>
      </c>
      <c r="T800" t="s">
        <v>2650</v>
      </c>
      <c r="U800" t="s">
        <v>2650</v>
      </c>
      <c r="V800" t="s">
        <v>2650</v>
      </c>
      <c r="W800" t="s">
        <v>3450</v>
      </c>
      <c r="X800">
        <v>2</v>
      </c>
      <c r="Y800" t="s">
        <v>4764</v>
      </c>
      <c r="Z800" t="s">
        <v>6080</v>
      </c>
      <c r="AA800">
        <v>1.0723391077885409</v>
      </c>
      <c r="AB800" t="str">
        <f>HYPERLINK("Melting_Curves/meltCurve_Q04917_YWHAH.pdf", "Melting_Curves/meltCurve_Q04917_YWHAH.pdf")</f>
        <v>Melting_Curves/meltCurve_Q04917_YWHAH.pdf</v>
      </c>
    </row>
    <row r="801" spans="1:28" x14ac:dyDescent="0.25">
      <c r="A801" t="s">
        <v>805</v>
      </c>
      <c r="B801">
        <v>1</v>
      </c>
      <c r="C801">
        <v>0.85344799922985604</v>
      </c>
      <c r="D801">
        <v>1.3022494625036101</v>
      </c>
      <c r="E801">
        <v>1.4298366652761301</v>
      </c>
      <c r="F801">
        <v>1.2846003273112301</v>
      </c>
      <c r="G801">
        <v>1.1911240894650701</v>
      </c>
      <c r="H801">
        <v>1.1954561499213801</v>
      </c>
      <c r="I801">
        <v>1.46632224111928</v>
      </c>
      <c r="J801">
        <v>0.96819946731701101</v>
      </c>
      <c r="K801">
        <v>1.2687481949748101</v>
      </c>
      <c r="L801">
        <v>11129.8130427625</v>
      </c>
      <c r="M801">
        <v>250</v>
      </c>
      <c r="O801">
        <v>44.516426013232703</v>
      </c>
      <c r="P801">
        <v>0.36970161522428702</v>
      </c>
      <c r="Q801">
        <v>1.2633245796425401</v>
      </c>
      <c r="R801">
        <v>0.47385198555980701</v>
      </c>
      <c r="S801" t="s">
        <v>2127</v>
      </c>
      <c r="T801" t="s">
        <v>2650</v>
      </c>
      <c r="U801" t="s">
        <v>2650</v>
      </c>
      <c r="V801" t="s">
        <v>2650</v>
      </c>
      <c r="W801" t="s">
        <v>3451</v>
      </c>
      <c r="X801">
        <v>1</v>
      </c>
      <c r="Y801" t="s">
        <v>4765</v>
      </c>
      <c r="Z801" t="s">
        <v>6081</v>
      </c>
      <c r="AA801">
        <v>1.2236363333285241</v>
      </c>
      <c r="AB801" t="str">
        <f>HYPERLINK("Melting_Curves/meltCurve_Q05397_6_PTK2.pdf", "Melting_Curves/meltCurve_Q05397_6_PTK2.pdf")</f>
        <v>Melting_Curves/meltCurve_Q05397_6_PTK2.pdf</v>
      </c>
    </row>
    <row r="802" spans="1:28" x14ac:dyDescent="0.25">
      <c r="A802" t="s">
        <v>806</v>
      </c>
      <c r="B802">
        <v>1</v>
      </c>
      <c r="C802">
        <v>0.80120268836222097</v>
      </c>
      <c r="D802">
        <v>1.15903784931022</v>
      </c>
      <c r="E802">
        <v>1.15068977714892</v>
      </c>
      <c r="F802">
        <v>0.96193845065440398</v>
      </c>
      <c r="G802">
        <v>1.0125928546162</v>
      </c>
      <c r="H802">
        <v>0.85659709939865603</v>
      </c>
      <c r="I802">
        <v>1.16384860275911</v>
      </c>
      <c r="J802">
        <v>0.75564202334630304</v>
      </c>
      <c r="K802">
        <v>0.91142553944110405</v>
      </c>
      <c r="L802">
        <v>9026.2935245586505</v>
      </c>
      <c r="M802">
        <v>137.490446301026</v>
      </c>
      <c r="O802">
        <v>65.636432251162702</v>
      </c>
      <c r="P802">
        <v>-8.7132851819916604E-2</v>
      </c>
      <c r="Q802">
        <v>0.83361489376638298</v>
      </c>
      <c r="R802">
        <v>0.23673552907746101</v>
      </c>
      <c r="S802" t="s">
        <v>2128</v>
      </c>
      <c r="T802" t="s">
        <v>2650</v>
      </c>
      <c r="U802" t="s">
        <v>2650</v>
      </c>
      <c r="V802" t="s">
        <v>2650</v>
      </c>
      <c r="W802" t="s">
        <v>3452</v>
      </c>
      <c r="X802">
        <v>1</v>
      </c>
      <c r="Y802" t="s">
        <v>4766</v>
      </c>
      <c r="Z802" t="s">
        <v>6082</v>
      </c>
      <c r="AA802">
        <v>0.9759388216872712</v>
      </c>
      <c r="AB802" t="str">
        <f>HYPERLINK("Melting_Curves/meltCurve_Q06210_2_GFPT1.pdf", "Melting_Curves/meltCurve_Q06210_2_GFPT1.pdf")</f>
        <v>Melting_Curves/meltCurve_Q06210_2_GFPT1.pdf</v>
      </c>
    </row>
    <row r="803" spans="1:28" x14ac:dyDescent="0.25">
      <c r="A803" t="s">
        <v>807</v>
      </c>
      <c r="B803">
        <v>1</v>
      </c>
      <c r="C803">
        <v>0.83125488590254204</v>
      </c>
      <c r="D803">
        <v>1.3152291255630399</v>
      </c>
      <c r="E803">
        <v>1.56400997654767</v>
      </c>
      <c r="F803">
        <v>1.1715742843316099</v>
      </c>
      <c r="G803">
        <v>1.2291255630421001</v>
      </c>
      <c r="H803">
        <v>1.13989502289394</v>
      </c>
      <c r="I803">
        <v>1.34705729069724</v>
      </c>
      <c r="J803">
        <v>0.83881174850165696</v>
      </c>
      <c r="K803">
        <v>1.20291851245207</v>
      </c>
      <c r="L803">
        <v>11114.6923321953</v>
      </c>
      <c r="M803">
        <v>250</v>
      </c>
      <c r="O803">
        <v>44.455924248780597</v>
      </c>
      <c r="P803">
        <v>0.31784182426037899</v>
      </c>
      <c r="Q803">
        <v>1.2260792328030501</v>
      </c>
      <c r="R803">
        <v>0.30023163429788702</v>
      </c>
      <c r="S803" t="s">
        <v>2129</v>
      </c>
      <c r="T803" t="s">
        <v>2650</v>
      </c>
      <c r="U803" t="s">
        <v>2650</v>
      </c>
      <c r="V803" t="s">
        <v>2650</v>
      </c>
      <c r="W803" t="s">
        <v>3453</v>
      </c>
      <c r="X803">
        <v>6</v>
      </c>
      <c r="Y803" t="s">
        <v>4767</v>
      </c>
      <c r="Z803" t="s">
        <v>6083</v>
      </c>
      <c r="AA803">
        <v>1.192460421459097</v>
      </c>
      <c r="AB803" t="str">
        <f>HYPERLINK("Melting_Curves/meltCurve_Q06323_3_PSME1.pdf", "Melting_Curves/meltCurve_Q06323_3_PSME1.pdf")</f>
        <v>Melting_Curves/meltCurve_Q06323_3_PSME1.pdf</v>
      </c>
    </row>
    <row r="804" spans="1:28" x14ac:dyDescent="0.25">
      <c r="A804" t="s">
        <v>808</v>
      </c>
      <c r="B804">
        <v>1</v>
      </c>
      <c r="C804">
        <v>0.77422076513270499</v>
      </c>
      <c r="D804">
        <v>1.0719571872815401</v>
      </c>
      <c r="E804">
        <v>1.2535737531036799</v>
      </c>
      <c r="F804">
        <v>0.94981076585589297</v>
      </c>
      <c r="G804">
        <v>0.99963840609406296</v>
      </c>
      <c r="H804">
        <v>0.94308511920545801</v>
      </c>
      <c r="I804">
        <v>0.99920449340693795</v>
      </c>
      <c r="J804">
        <v>0.70686787358677095</v>
      </c>
      <c r="K804">
        <v>0.93158643299664901</v>
      </c>
      <c r="L804">
        <v>15000</v>
      </c>
      <c r="M804">
        <v>230.80468663491601</v>
      </c>
      <c r="O804">
        <v>64.985137128871102</v>
      </c>
      <c r="P804">
        <v>-0.16048968293645</v>
      </c>
      <c r="Q804">
        <v>0.81925074547879995</v>
      </c>
      <c r="R804">
        <v>0.25406451099621402</v>
      </c>
      <c r="S804" t="s">
        <v>2130</v>
      </c>
      <c r="T804" t="s">
        <v>2650</v>
      </c>
      <c r="U804" t="s">
        <v>2650</v>
      </c>
      <c r="V804" t="s">
        <v>2650</v>
      </c>
      <c r="W804" t="s">
        <v>3454</v>
      </c>
      <c r="X804">
        <v>7</v>
      </c>
      <c r="Y804" t="s">
        <v>4768</v>
      </c>
      <c r="Z804" t="s">
        <v>6084</v>
      </c>
      <c r="AA804">
        <v>0.96983915173944335</v>
      </c>
      <c r="AB804" t="str">
        <f>HYPERLINK("Melting_Curves/meltCurve_Q06481_4_APLP2.pdf", "Melting_Curves/meltCurve_Q06481_4_APLP2.pdf")</f>
        <v>Melting_Curves/meltCurve_Q06481_4_APLP2.pdf</v>
      </c>
    </row>
    <row r="805" spans="1:28" x14ac:dyDescent="0.25">
      <c r="A805" t="s">
        <v>809</v>
      </c>
      <c r="B805">
        <v>1</v>
      </c>
      <c r="C805">
        <v>0.81804305489762597</v>
      </c>
      <c r="D805">
        <v>1.0598978893626001</v>
      </c>
      <c r="E805">
        <v>1.1830622664350801</v>
      </c>
      <c r="F805">
        <v>0.91925890836359803</v>
      </c>
      <c r="G805">
        <v>1.1419548397284101</v>
      </c>
      <c r="H805">
        <v>1.0388967840412699</v>
      </c>
      <c r="I805">
        <v>1.1278488341491699</v>
      </c>
      <c r="J805">
        <v>0.84846570872151195</v>
      </c>
      <c r="K805">
        <v>1.1013737565135</v>
      </c>
      <c r="L805">
        <v>11168.1366052878</v>
      </c>
      <c r="M805">
        <v>250</v>
      </c>
      <c r="O805">
        <v>44.669689543345797</v>
      </c>
      <c r="P805">
        <v>7.3593361691783807E-2</v>
      </c>
      <c r="Q805">
        <v>1.0525982796467701</v>
      </c>
      <c r="R805">
        <v>0.11545353582904</v>
      </c>
      <c r="S805" t="s">
        <v>2131</v>
      </c>
      <c r="T805" t="s">
        <v>2650</v>
      </c>
      <c r="U805" t="s">
        <v>2650</v>
      </c>
      <c r="V805" t="s">
        <v>2650</v>
      </c>
      <c r="W805" t="s">
        <v>3455</v>
      </c>
      <c r="X805">
        <v>4</v>
      </c>
      <c r="Y805" t="s">
        <v>4769</v>
      </c>
      <c r="Z805" t="s">
        <v>6085</v>
      </c>
      <c r="AA805">
        <v>1.0444018925173639</v>
      </c>
      <c r="AB805" t="str">
        <f>HYPERLINK("Melting_Curves/meltCurve_Q06828_FMOD.pdf", "Melting_Curves/meltCurve_Q06828_FMOD.pdf")</f>
        <v>Melting_Curves/meltCurve_Q06828_FMOD.pdf</v>
      </c>
    </row>
    <row r="806" spans="1:28" x14ac:dyDescent="0.25">
      <c r="A806" t="s">
        <v>810</v>
      </c>
      <c r="B806">
        <v>1</v>
      </c>
      <c r="C806">
        <v>0.83135529919495399</v>
      </c>
      <c r="D806">
        <v>1.1669848120175901</v>
      </c>
      <c r="E806">
        <v>1.3847622209312</v>
      </c>
      <c r="F806">
        <v>1.0337787368246301</v>
      </c>
      <c r="G806">
        <v>1.1478130965225299</v>
      </c>
      <c r="H806">
        <v>1.0084654328160001</v>
      </c>
      <c r="I806">
        <v>1.1986056934185401</v>
      </c>
      <c r="J806">
        <v>0.82894846045314996</v>
      </c>
      <c r="K806">
        <v>1.1268155033612699</v>
      </c>
      <c r="L806">
        <v>11125.2899015765</v>
      </c>
      <c r="M806">
        <v>250</v>
      </c>
      <c r="O806">
        <v>44.498311077511403</v>
      </c>
      <c r="P806">
        <v>0.157340156871981</v>
      </c>
      <c r="Q806">
        <v>1.1120219416842401</v>
      </c>
      <c r="R806">
        <v>0.183020431296258</v>
      </c>
      <c r="S806" t="s">
        <v>2132</v>
      </c>
      <c r="T806" t="s">
        <v>2650</v>
      </c>
      <c r="U806" t="s">
        <v>2650</v>
      </c>
      <c r="V806" t="s">
        <v>2650</v>
      </c>
      <c r="W806" t="s">
        <v>3456</v>
      </c>
      <c r="X806">
        <v>15</v>
      </c>
      <c r="Y806" t="s">
        <v>4770</v>
      </c>
      <c r="Z806" t="s">
        <v>6086</v>
      </c>
      <c r="AA806">
        <v>1.0952055716026221</v>
      </c>
      <c r="AB806" t="str">
        <f>HYPERLINK("Melting_Curves/meltCurve_Q06830_PRDX1.pdf", "Melting_Curves/meltCurve_Q06830_PRDX1.pdf")</f>
        <v>Melting_Curves/meltCurve_Q06830_PRDX1.pdf</v>
      </c>
    </row>
    <row r="807" spans="1:28" x14ac:dyDescent="0.25">
      <c r="A807" t="s">
        <v>811</v>
      </c>
      <c r="B807">
        <v>1</v>
      </c>
      <c r="C807">
        <v>0.77100252962321902</v>
      </c>
      <c r="D807">
        <v>0.97204100652376502</v>
      </c>
      <c r="E807">
        <v>1.05854746371988</v>
      </c>
      <c r="F807">
        <v>0.92041672214086001</v>
      </c>
      <c r="G807">
        <v>0.883903608041539</v>
      </c>
      <c r="H807">
        <v>0.77336573026228195</v>
      </c>
      <c r="I807">
        <v>0.96418586073758505</v>
      </c>
      <c r="J807">
        <v>0.64745040607109605</v>
      </c>
      <c r="K807">
        <v>0.82335907335907299</v>
      </c>
      <c r="L807">
        <v>236.55133441020001</v>
      </c>
      <c r="M807">
        <v>2.1534255651354601</v>
      </c>
      <c r="O807">
        <v>68.203985940070098</v>
      </c>
      <c r="P807">
        <v>-8.4855256810856903E-3</v>
      </c>
      <c r="Q807">
        <v>0</v>
      </c>
      <c r="R807">
        <v>0.25945014769541802</v>
      </c>
      <c r="S807" t="s">
        <v>2133</v>
      </c>
      <c r="T807" t="s">
        <v>2650</v>
      </c>
      <c r="U807" t="s">
        <v>2650</v>
      </c>
      <c r="V807" t="s">
        <v>2650</v>
      </c>
      <c r="W807" t="s">
        <v>3457</v>
      </c>
      <c r="X807">
        <v>1</v>
      </c>
      <c r="Y807" t="s">
        <v>4771</v>
      </c>
      <c r="Z807" t="s">
        <v>6087</v>
      </c>
      <c r="AA807">
        <v>0.88857893345887318</v>
      </c>
      <c r="AB807" t="str">
        <f>HYPERLINK("Melting_Curves/meltCurve_Q07020_2_RPL18.pdf", "Melting_Curves/meltCurve_Q07020_2_RPL18.pdf")</f>
        <v>Melting_Curves/meltCurve_Q07020_2_RPL18.pdf</v>
      </c>
    </row>
    <row r="808" spans="1:28" x14ac:dyDescent="0.25">
      <c r="A808" t="s">
        <v>812</v>
      </c>
      <c r="B808">
        <v>1</v>
      </c>
      <c r="C808">
        <v>0.76132040741195195</v>
      </c>
      <c r="D808">
        <v>1.1117928580193901</v>
      </c>
      <c r="E808">
        <v>1.2736532089827</v>
      </c>
      <c r="F808">
        <v>1.0713584488894301</v>
      </c>
      <c r="G808">
        <v>1.1813719474782201</v>
      </c>
      <c r="H808">
        <v>0.99545956559087001</v>
      </c>
      <c r="I808">
        <v>1.1974475395754101</v>
      </c>
      <c r="J808">
        <v>0.72781936433918304</v>
      </c>
      <c r="K808">
        <v>0.95833844643514499</v>
      </c>
      <c r="L808">
        <v>1468.1445104879699</v>
      </c>
      <c r="M808">
        <v>19.8199151893965</v>
      </c>
      <c r="Q808">
        <v>0.63256938424270104</v>
      </c>
      <c r="R808">
        <v>1.86872010249182E-2</v>
      </c>
      <c r="S808" t="s">
        <v>2134</v>
      </c>
      <c r="T808" t="s">
        <v>2650</v>
      </c>
      <c r="U808" t="s">
        <v>2650</v>
      </c>
      <c r="V808" t="s">
        <v>2650</v>
      </c>
      <c r="W808" t="s">
        <v>3458</v>
      </c>
      <c r="X808">
        <v>2</v>
      </c>
      <c r="Y808" t="s">
        <v>4772</v>
      </c>
      <c r="Z808" t="s">
        <v>6088</v>
      </c>
      <c r="AA808">
        <v>0.98979219178245215</v>
      </c>
      <c r="AB808" t="str">
        <f>HYPERLINK("Melting_Curves/meltCurve_Q07654_TFF3.pdf", "Melting_Curves/meltCurve_Q07654_TFF3.pdf")</f>
        <v>Melting_Curves/meltCurve_Q07654_TFF3.pdf</v>
      </c>
    </row>
    <row r="809" spans="1:28" x14ac:dyDescent="0.25">
      <c r="A809" t="s">
        <v>813</v>
      </c>
      <c r="B809">
        <v>1</v>
      </c>
      <c r="C809">
        <v>0.75771454743230104</v>
      </c>
      <c r="D809">
        <v>1.24406022785825</v>
      </c>
      <c r="E809">
        <v>1.3863285051812</v>
      </c>
      <c r="F809">
        <v>1.10728802885441</v>
      </c>
      <c r="G809">
        <v>1.0561057995076399</v>
      </c>
      <c r="H809">
        <v>0.97492414266903304</v>
      </c>
      <c r="I809">
        <v>1.0964103738478299</v>
      </c>
      <c r="J809">
        <v>0.77981336234041299</v>
      </c>
      <c r="K809">
        <v>0.96135569931871501</v>
      </c>
      <c r="L809">
        <v>15000</v>
      </c>
      <c r="M809">
        <v>229.098143350794</v>
      </c>
      <c r="O809">
        <v>65.469133725292707</v>
      </c>
      <c r="P809">
        <v>-0.11308992302385799</v>
      </c>
      <c r="Q809">
        <v>0.87072965026522997</v>
      </c>
      <c r="R809">
        <v>6.0800357737384902E-2</v>
      </c>
      <c r="S809" t="s">
        <v>2135</v>
      </c>
      <c r="T809" t="s">
        <v>2650</v>
      </c>
      <c r="U809" t="s">
        <v>2650</v>
      </c>
      <c r="V809" t="s">
        <v>2650</v>
      </c>
      <c r="W809" t="s">
        <v>3459</v>
      </c>
      <c r="X809">
        <v>1</v>
      </c>
      <c r="Y809" t="s">
        <v>4773</v>
      </c>
      <c r="Z809" t="s">
        <v>6089</v>
      </c>
      <c r="AA809">
        <v>0.98051563115239626</v>
      </c>
      <c r="AB809" t="str">
        <f>HYPERLINK("Melting_Curves/meltCurve_Q07812_5_BAX.pdf", "Melting_Curves/meltCurve_Q07812_5_BAX.pdf")</f>
        <v>Melting_Curves/meltCurve_Q07812_5_BAX.pdf</v>
      </c>
    </row>
    <row r="810" spans="1:28" x14ac:dyDescent="0.25">
      <c r="A810" t="s">
        <v>814</v>
      </c>
      <c r="B810">
        <v>1</v>
      </c>
      <c r="C810">
        <v>0.68835179919599998</v>
      </c>
      <c r="D810">
        <v>0.93313069908814605</v>
      </c>
      <c r="E810">
        <v>1.0318168447886999</v>
      </c>
      <c r="F810">
        <v>0.83101284439650902</v>
      </c>
      <c r="G810">
        <v>0.90523580743210097</v>
      </c>
      <c r="H810">
        <v>0.71080498088047805</v>
      </c>
      <c r="I810">
        <v>0.84841651142268804</v>
      </c>
      <c r="J810">
        <v>0.52387488969506801</v>
      </c>
      <c r="K810">
        <v>0.66222178644965202</v>
      </c>
      <c r="L810">
        <v>275.39455134941602</v>
      </c>
      <c r="M810">
        <v>3.3570977532697799</v>
      </c>
      <c r="O810">
        <v>63.296041662920302</v>
      </c>
      <c r="P810">
        <v>-1.35535576692772E-2</v>
      </c>
      <c r="Q810">
        <v>0</v>
      </c>
      <c r="R810">
        <v>0.40032768200983598</v>
      </c>
      <c r="S810" t="s">
        <v>2136</v>
      </c>
      <c r="T810" t="s">
        <v>2650</v>
      </c>
      <c r="U810" t="s">
        <v>2650</v>
      </c>
      <c r="V810" t="s">
        <v>2650</v>
      </c>
      <c r="W810" t="s">
        <v>3460</v>
      </c>
      <c r="X810">
        <v>1</v>
      </c>
      <c r="Y810" t="s">
        <v>4774</v>
      </c>
      <c r="Z810" t="s">
        <v>6090</v>
      </c>
      <c r="AA810">
        <v>0.82761674926439577</v>
      </c>
      <c r="AB810" t="str">
        <f>HYPERLINK("Melting_Curves/meltCurve_Q08174_PCDH1.pdf", "Melting_Curves/meltCurve_Q08174_PCDH1.pdf")</f>
        <v>Melting_Curves/meltCurve_Q08174_PCDH1.pdf</v>
      </c>
    </row>
    <row r="811" spans="1:28" x14ac:dyDescent="0.25">
      <c r="A811" t="s">
        <v>815</v>
      </c>
      <c r="B811">
        <v>1</v>
      </c>
      <c r="C811">
        <v>0.74931904848374797</v>
      </c>
      <c r="D811">
        <v>1.06296531686944</v>
      </c>
      <c r="E811">
        <v>1.27267568549119</v>
      </c>
      <c r="F811">
        <v>1.03920010895224</v>
      </c>
      <c r="G811">
        <v>1.1158525512983499</v>
      </c>
      <c r="H811">
        <v>1.0083303068821501</v>
      </c>
      <c r="I811">
        <v>1.19457054657708</v>
      </c>
      <c r="J811">
        <v>0.71670147085527502</v>
      </c>
      <c r="K811">
        <v>1.0261258398402</v>
      </c>
      <c r="L811">
        <v>1683.7858650706901</v>
      </c>
      <c r="M811">
        <v>25.171543265794</v>
      </c>
      <c r="O811">
        <v>66.474533094250702</v>
      </c>
      <c r="P811">
        <v>-7.8743675319591696E-3</v>
      </c>
      <c r="Q811">
        <v>0.916820668594024</v>
      </c>
      <c r="R811">
        <v>1.06947427242641E-2</v>
      </c>
      <c r="S811" t="s">
        <v>2137</v>
      </c>
      <c r="T811" t="s">
        <v>2650</v>
      </c>
      <c r="U811" t="s">
        <v>2650</v>
      </c>
      <c r="V811" t="s">
        <v>2650</v>
      </c>
      <c r="W811" t="s">
        <v>3461</v>
      </c>
      <c r="X811">
        <v>3</v>
      </c>
      <c r="Y811" t="s">
        <v>4775</v>
      </c>
      <c r="Z811" t="s">
        <v>6091</v>
      </c>
      <c r="AA811">
        <v>0.98984971192445337</v>
      </c>
      <c r="AB811" t="str">
        <f>HYPERLINK("Melting_Curves/meltCurve_Q08209_4_PPP3CA.pdf", "Melting_Curves/meltCurve_Q08209_4_PPP3CA.pdf")</f>
        <v>Melting_Curves/meltCurve_Q08209_4_PPP3CA.pdf</v>
      </c>
    </row>
    <row r="812" spans="1:28" x14ac:dyDescent="0.25">
      <c r="A812" t="s">
        <v>816</v>
      </c>
      <c r="B812">
        <v>1</v>
      </c>
      <c r="C812">
        <v>0.77014371232505296</v>
      </c>
      <c r="D812">
        <v>1.1210812840247799</v>
      </c>
      <c r="E812">
        <v>1.5268965229543401</v>
      </c>
      <c r="F812">
        <v>1.4900611142398299</v>
      </c>
      <c r="G812">
        <v>1.8728281500949</v>
      </c>
      <c r="H812">
        <v>1.9156498341780901</v>
      </c>
      <c r="I812">
        <v>2.8604801535156299</v>
      </c>
      <c r="J812">
        <v>2.0809085789374899</v>
      </c>
      <c r="K812">
        <v>2.7866424712679598</v>
      </c>
      <c r="L812">
        <v>11552.479545034499</v>
      </c>
      <c r="M812">
        <v>250</v>
      </c>
      <c r="O812">
        <v>46.206961811429302</v>
      </c>
      <c r="P812">
        <v>0.67630502688577698</v>
      </c>
      <c r="Q812">
        <v>1.5</v>
      </c>
      <c r="R812">
        <v>6.3523525747381002E-2</v>
      </c>
      <c r="S812" t="s">
        <v>2138</v>
      </c>
      <c r="T812" t="s">
        <v>2650</v>
      </c>
      <c r="U812" t="s">
        <v>2650</v>
      </c>
      <c r="V812" t="s">
        <v>2650</v>
      </c>
      <c r="W812" t="s">
        <v>3462</v>
      </c>
      <c r="X812">
        <v>5</v>
      </c>
      <c r="Y812" t="s">
        <v>4776</v>
      </c>
      <c r="Z812" t="s">
        <v>6092</v>
      </c>
      <c r="AA812">
        <v>1.396460814820756</v>
      </c>
      <c r="AB812" t="str">
        <f>HYPERLINK("Melting_Curves/meltCurve_Q08257_3_CRYZ.pdf", "Melting_Curves/meltCurve_Q08257_3_CRYZ.pdf")</f>
        <v>Melting_Curves/meltCurve_Q08257_3_CRYZ.pdf</v>
      </c>
    </row>
    <row r="813" spans="1:28" x14ac:dyDescent="0.25">
      <c r="A813" t="s">
        <v>817</v>
      </c>
      <c r="B813">
        <v>1</v>
      </c>
      <c r="C813">
        <v>0.73962925528483303</v>
      </c>
      <c r="D813">
        <v>1.28072514569579</v>
      </c>
      <c r="E813">
        <v>1.81393948517236</v>
      </c>
      <c r="F813">
        <v>1.5442678652071999</v>
      </c>
      <c r="G813">
        <v>1.67480269241522</v>
      </c>
      <c r="H813">
        <v>1.5687834670222101</v>
      </c>
      <c r="I813">
        <v>1.8512505107417001</v>
      </c>
      <c r="J813">
        <v>1.17169523236059</v>
      </c>
      <c r="K813">
        <v>1.7105008494441001</v>
      </c>
      <c r="L813">
        <v>11488.6357036921</v>
      </c>
      <c r="M813">
        <v>250</v>
      </c>
      <c r="O813">
        <v>45.9516023771505</v>
      </c>
      <c r="P813">
        <v>0.68006334179580996</v>
      </c>
      <c r="Q813">
        <v>1.5</v>
      </c>
      <c r="R813">
        <v>0.61551287988843095</v>
      </c>
      <c r="S813" t="s">
        <v>2139</v>
      </c>
      <c r="T813" t="s">
        <v>2650</v>
      </c>
      <c r="U813" t="s">
        <v>2650</v>
      </c>
      <c r="V813" t="s">
        <v>2650</v>
      </c>
      <c r="W813" t="s">
        <v>3463</v>
      </c>
      <c r="X813">
        <v>5</v>
      </c>
      <c r="Y813" t="s">
        <v>4777</v>
      </c>
      <c r="Z813" t="s">
        <v>6093</v>
      </c>
      <c r="AA813">
        <v>1.400717295000145</v>
      </c>
      <c r="AB813" t="str">
        <f>HYPERLINK("Melting_Curves/meltCurve_Q08345_2_DDR1.pdf", "Melting_Curves/meltCurve_Q08345_2_DDR1.pdf")</f>
        <v>Melting_Curves/meltCurve_Q08345_2_DDR1.pdf</v>
      </c>
    </row>
    <row r="814" spans="1:28" x14ac:dyDescent="0.25">
      <c r="A814" t="s">
        <v>818</v>
      </c>
      <c r="B814">
        <v>1</v>
      </c>
      <c r="C814">
        <v>0.73924137592619898</v>
      </c>
      <c r="D814">
        <v>1.3550713970263499</v>
      </c>
      <c r="E814">
        <v>1.4230825850139801</v>
      </c>
      <c r="F814">
        <v>1.17876245154326</v>
      </c>
      <c r="G814">
        <v>1.30413661121743</v>
      </c>
      <c r="H814">
        <v>0.99028411600176602</v>
      </c>
      <c r="I814">
        <v>1.2968742332793599</v>
      </c>
      <c r="J814">
        <v>0.77903724422199305</v>
      </c>
      <c r="K814">
        <v>1.2136513077187301</v>
      </c>
      <c r="L814">
        <v>11111.0361437026</v>
      </c>
      <c r="M814">
        <v>250</v>
      </c>
      <c r="O814">
        <v>44.441300415769902</v>
      </c>
      <c r="P814">
        <v>0.27087594100099399</v>
      </c>
      <c r="Q814">
        <v>1.1926092650089699</v>
      </c>
      <c r="R814">
        <v>0.257373910902363</v>
      </c>
      <c r="S814" t="s">
        <v>2140</v>
      </c>
      <c r="T814" t="s">
        <v>2650</v>
      </c>
      <c r="U814" t="s">
        <v>2650</v>
      </c>
      <c r="V814" t="s">
        <v>2650</v>
      </c>
      <c r="W814" t="s">
        <v>3464</v>
      </c>
      <c r="X814">
        <v>1</v>
      </c>
      <c r="Y814" t="s">
        <v>4778</v>
      </c>
      <c r="Z814" t="s">
        <v>6094</v>
      </c>
      <c r="AA814">
        <v>1.164061461049297</v>
      </c>
      <c r="AB814" t="str">
        <f>HYPERLINK("Melting_Curves/meltCurve_Q08378_4_GOLGA3.pdf", "Melting_Curves/meltCurve_Q08378_4_GOLGA3.pdf")</f>
        <v>Melting_Curves/meltCurve_Q08378_4_GOLGA3.pdf</v>
      </c>
    </row>
    <row r="815" spans="1:28" x14ac:dyDescent="0.25">
      <c r="A815" t="s">
        <v>819</v>
      </c>
      <c r="B815">
        <v>1</v>
      </c>
      <c r="C815">
        <v>0.86339836821567895</v>
      </c>
      <c r="D815">
        <v>1.0177509755232399</v>
      </c>
      <c r="E815">
        <v>1.16222774033345</v>
      </c>
      <c r="F815">
        <v>0.87995743171337304</v>
      </c>
      <c r="G815">
        <v>0.91545938275984395</v>
      </c>
      <c r="H815">
        <v>0.770670450514367</v>
      </c>
      <c r="I815">
        <v>0.94395175594182301</v>
      </c>
      <c r="J815">
        <v>0.67929052855622596</v>
      </c>
      <c r="K815">
        <v>0.86944306491663703</v>
      </c>
      <c r="L815">
        <v>1593.5250139002901</v>
      </c>
      <c r="M815">
        <v>28.709212672507199</v>
      </c>
      <c r="O815">
        <v>55.238499537784399</v>
      </c>
      <c r="P815">
        <v>-2.3891836250126801E-2</v>
      </c>
      <c r="Q815">
        <v>0.81612332302775303</v>
      </c>
      <c r="R815">
        <v>0.40181646385870601</v>
      </c>
      <c r="S815" t="s">
        <v>2141</v>
      </c>
      <c r="T815" t="s">
        <v>2650</v>
      </c>
      <c r="U815" t="s">
        <v>2650</v>
      </c>
      <c r="V815" t="s">
        <v>2650</v>
      </c>
      <c r="W815" t="s">
        <v>3465</v>
      </c>
      <c r="X815">
        <v>5</v>
      </c>
      <c r="Y815" t="s">
        <v>4779</v>
      </c>
      <c r="Z815" t="s">
        <v>6095</v>
      </c>
      <c r="AA815">
        <v>0.91248858567853597</v>
      </c>
      <c r="AB815" t="str">
        <f>HYPERLINK("Melting_Curves/meltCurve_Q08380_LGALS3BP.pdf", "Melting_Curves/meltCurve_Q08380_LGALS3BP.pdf")</f>
        <v>Melting_Curves/meltCurve_Q08380_LGALS3BP.pdf</v>
      </c>
    </row>
    <row r="816" spans="1:28" x14ac:dyDescent="0.25">
      <c r="A816" t="s">
        <v>820</v>
      </c>
      <c r="B816">
        <v>1</v>
      </c>
      <c r="C816">
        <v>0.66236284452378402</v>
      </c>
      <c r="D816">
        <v>1.61847309213462</v>
      </c>
      <c r="E816">
        <v>1.54614425755221</v>
      </c>
      <c r="F816">
        <v>1.23323740785768</v>
      </c>
      <c r="G816">
        <v>1.06863544728459</v>
      </c>
      <c r="H816">
        <v>1.4640741139717799</v>
      </c>
      <c r="I816">
        <v>1.1199889198381101</v>
      </c>
      <c r="J816">
        <v>1.19102506886628</v>
      </c>
      <c r="K816">
        <v>1.21230821317</v>
      </c>
      <c r="L816">
        <v>11102.0668389438</v>
      </c>
      <c r="M816">
        <v>250</v>
      </c>
      <c r="O816">
        <v>44.4054070822434</v>
      </c>
      <c r="P816">
        <v>0.42925374525326099</v>
      </c>
      <c r="Q816">
        <v>1.3049791238978099</v>
      </c>
      <c r="R816">
        <v>0.42482259310430898</v>
      </c>
      <c r="S816" t="s">
        <v>2142</v>
      </c>
      <c r="T816" t="s">
        <v>2650</v>
      </c>
      <c r="U816" t="s">
        <v>2650</v>
      </c>
      <c r="V816" t="s">
        <v>2650</v>
      </c>
      <c r="W816" t="s">
        <v>3466</v>
      </c>
      <c r="X816">
        <v>1</v>
      </c>
      <c r="Y816" t="s">
        <v>4780</v>
      </c>
      <c r="Z816" t="s">
        <v>6096</v>
      </c>
      <c r="AA816">
        <v>1.260141037897907</v>
      </c>
      <c r="AB816" t="str">
        <f>HYPERLINK("Melting_Curves/meltCurve_Q08554_2_DSC1.pdf", "Melting_Curves/meltCurve_Q08554_2_DSC1.pdf")</f>
        <v>Melting_Curves/meltCurve_Q08554_2_DSC1.pdf</v>
      </c>
    </row>
    <row r="817" spans="1:28" x14ac:dyDescent="0.25">
      <c r="A817" t="s">
        <v>821</v>
      </c>
      <c r="B817">
        <v>1</v>
      </c>
      <c r="C817">
        <v>0.66797771222549995</v>
      </c>
      <c r="D817">
        <v>1.1023271058669299</v>
      </c>
      <c r="E817">
        <v>1.2152736807604101</v>
      </c>
      <c r="F817">
        <v>0.87014093739757503</v>
      </c>
      <c r="G817">
        <v>0.90042608980662098</v>
      </c>
      <c r="H817">
        <v>0.85703048180924302</v>
      </c>
      <c r="I817">
        <v>0.92186168469354302</v>
      </c>
      <c r="J817">
        <v>0.54392002622091096</v>
      </c>
      <c r="K817">
        <v>0.80321206161914105</v>
      </c>
      <c r="L817">
        <v>1006.49092742723</v>
      </c>
      <c r="M817">
        <v>16.262678701365299</v>
      </c>
      <c r="O817">
        <v>60.976507306042599</v>
      </c>
      <c r="P817">
        <v>-2.21044694179677E-2</v>
      </c>
      <c r="Q817">
        <v>0.66850376665693301</v>
      </c>
      <c r="R817">
        <v>0.274377741148562</v>
      </c>
      <c r="S817" t="s">
        <v>2143</v>
      </c>
      <c r="T817" t="s">
        <v>2650</v>
      </c>
      <c r="U817" t="s">
        <v>2650</v>
      </c>
      <c r="V817" t="s">
        <v>2650</v>
      </c>
      <c r="W817" t="s">
        <v>3467</v>
      </c>
      <c r="X817">
        <v>10</v>
      </c>
      <c r="Y817" t="s">
        <v>4781</v>
      </c>
      <c r="Z817" t="s">
        <v>6097</v>
      </c>
      <c r="AA817">
        <v>0.91035695475616052</v>
      </c>
      <c r="AB817" t="str">
        <f>HYPERLINK("Melting_Curves/meltCurve_Q08629_SPOCK1.pdf", "Melting_Curves/meltCurve_Q08629_SPOCK1.pdf")</f>
        <v>Melting_Curves/meltCurve_Q08629_SPOCK1.pdf</v>
      </c>
    </row>
    <row r="818" spans="1:28" x14ac:dyDescent="0.25">
      <c r="A818" t="s">
        <v>822</v>
      </c>
      <c r="B818">
        <v>1</v>
      </c>
      <c r="C818">
        <v>0.70805520476276396</v>
      </c>
      <c r="D818">
        <v>1.06187984845751</v>
      </c>
      <c r="E818">
        <v>1.18194118708281</v>
      </c>
      <c r="F818">
        <v>0.89884539058271695</v>
      </c>
      <c r="G818">
        <v>0.91160021648926604</v>
      </c>
      <c r="H818">
        <v>0.83646942089121401</v>
      </c>
      <c r="I818">
        <v>0.96166335919177304</v>
      </c>
      <c r="J818">
        <v>0.59095255276925895</v>
      </c>
      <c r="K818">
        <v>0.76086054483131904</v>
      </c>
      <c r="L818">
        <v>891.43780462059203</v>
      </c>
      <c r="M818">
        <v>13.886455600443</v>
      </c>
      <c r="O818">
        <v>62.907438898031998</v>
      </c>
      <c r="P818">
        <v>-2.1557483402648001E-2</v>
      </c>
      <c r="Q818">
        <v>0.60942062092023697</v>
      </c>
      <c r="R818">
        <v>0.32417266450202198</v>
      </c>
      <c r="S818" t="s">
        <v>2144</v>
      </c>
      <c r="T818" t="s">
        <v>2650</v>
      </c>
      <c r="U818" t="s">
        <v>2650</v>
      </c>
      <c r="V818" t="s">
        <v>2650</v>
      </c>
      <c r="W818" t="s">
        <v>3468</v>
      </c>
      <c r="X818">
        <v>8</v>
      </c>
      <c r="Y818" t="s">
        <v>4782</v>
      </c>
      <c r="Z818" t="s">
        <v>6098</v>
      </c>
      <c r="AA818">
        <v>0.91570339288160718</v>
      </c>
      <c r="AB818" t="str">
        <f>HYPERLINK("Melting_Curves/meltCurve_Q09666_AHNAK.pdf", "Melting_Curves/meltCurve_Q09666_AHNAK.pdf")</f>
        <v>Melting_Curves/meltCurve_Q09666_AHNAK.pdf</v>
      </c>
    </row>
    <row r="819" spans="1:28" x14ac:dyDescent="0.25">
      <c r="A819" t="s">
        <v>823</v>
      </c>
      <c r="B819">
        <v>1</v>
      </c>
      <c r="C819">
        <v>0.69514674981359703</v>
      </c>
      <c r="D819">
        <v>1.1809801396326201</v>
      </c>
      <c r="E819">
        <v>1.39558055988612</v>
      </c>
      <c r="F819">
        <v>1.1634243882600099</v>
      </c>
      <c r="G819">
        <v>1.36897580153189</v>
      </c>
      <c r="H819">
        <v>1.3856503761946699</v>
      </c>
      <c r="I819">
        <v>1.88663322714024</v>
      </c>
      <c r="J819">
        <v>1.1492238866671201</v>
      </c>
      <c r="K819">
        <v>1.5174201857249401</v>
      </c>
      <c r="L819">
        <v>822.66216151993206</v>
      </c>
      <c r="M819">
        <v>16.393744817578199</v>
      </c>
      <c r="O819">
        <v>49.452606600026002</v>
      </c>
      <c r="P819">
        <v>3.9375831486986597E-2</v>
      </c>
      <c r="Q819">
        <v>1.4750833234276699</v>
      </c>
      <c r="R819">
        <v>0.49140603776848701</v>
      </c>
      <c r="S819" t="s">
        <v>2145</v>
      </c>
      <c r="T819" t="s">
        <v>2650</v>
      </c>
      <c r="U819" t="s">
        <v>2650</v>
      </c>
      <c r="V819" t="s">
        <v>2650</v>
      </c>
      <c r="W819" t="s">
        <v>3469</v>
      </c>
      <c r="X819">
        <v>2</v>
      </c>
      <c r="Y819" t="s">
        <v>4783</v>
      </c>
      <c r="Z819" t="s">
        <v>6099</v>
      </c>
      <c r="AA819">
        <v>1.304237926639964</v>
      </c>
      <c r="AB819" t="str">
        <f>HYPERLINK("Melting_Curves/meltCurve_Q10469_MGAT2.pdf", "Melting_Curves/meltCurve_Q10469_MGAT2.pdf")</f>
        <v>Melting_Curves/meltCurve_Q10469_MGAT2.pdf</v>
      </c>
    </row>
    <row r="820" spans="1:28" x14ac:dyDescent="0.25">
      <c r="A820" t="s">
        <v>824</v>
      </c>
      <c r="B820">
        <v>1</v>
      </c>
      <c r="C820">
        <v>0.67736815309514498</v>
      </c>
      <c r="D820">
        <v>1.1098649336647599</v>
      </c>
      <c r="E820">
        <v>1.2872181126650899</v>
      </c>
      <c r="F820">
        <v>1.08351052678866</v>
      </c>
      <c r="G820">
        <v>1.2573747416968599</v>
      </c>
      <c r="H820">
        <v>1.4513192177532901</v>
      </c>
      <c r="I820">
        <v>1.63157737114791</v>
      </c>
      <c r="J820">
        <v>0.98541523164924705</v>
      </c>
      <c r="K820">
        <v>1.47333113713276</v>
      </c>
      <c r="L820">
        <v>859.09064633331798</v>
      </c>
      <c r="M820">
        <v>16.593735287068501</v>
      </c>
      <c r="O820">
        <v>51.037618492674</v>
      </c>
      <c r="P820">
        <v>3.0717532932392301E-2</v>
      </c>
      <c r="Q820">
        <v>1.37788795568153</v>
      </c>
      <c r="R820">
        <v>0.437436115362763</v>
      </c>
      <c r="S820" t="s">
        <v>2146</v>
      </c>
      <c r="T820" t="s">
        <v>2650</v>
      </c>
      <c r="U820" t="s">
        <v>2650</v>
      </c>
      <c r="V820" t="s">
        <v>2650</v>
      </c>
      <c r="W820" t="s">
        <v>3470</v>
      </c>
      <c r="X820">
        <v>2</v>
      </c>
      <c r="Y820" t="s">
        <v>4784</v>
      </c>
      <c r="Z820" t="s">
        <v>6100</v>
      </c>
      <c r="AA820">
        <v>1.222365987907627</v>
      </c>
      <c r="AB820" t="str">
        <f>HYPERLINK("Melting_Curves/meltCurve_Q10471_GALNT2.pdf", "Melting_Curves/meltCurve_Q10471_GALNT2.pdf")</f>
        <v>Melting_Curves/meltCurve_Q10471_GALNT2.pdf</v>
      </c>
    </row>
    <row r="821" spans="1:28" x14ac:dyDescent="0.25">
      <c r="A821" t="s">
        <v>825</v>
      </c>
      <c r="B821">
        <v>1</v>
      </c>
      <c r="C821">
        <v>0.70405165797761105</v>
      </c>
      <c r="D821">
        <v>1.1124725434673299</v>
      </c>
      <c r="E821">
        <v>1.5051737369995</v>
      </c>
      <c r="F821">
        <v>1.1375076084367599</v>
      </c>
      <c r="G821">
        <v>1.7706354037102701</v>
      </c>
      <c r="H821">
        <v>1.7011670680392701</v>
      </c>
      <c r="I821">
        <v>2.4451001667240102</v>
      </c>
      <c r="J821">
        <v>1.6129885939608899</v>
      </c>
      <c r="K821">
        <v>2.28996744912271</v>
      </c>
      <c r="L821">
        <v>11556.905571756501</v>
      </c>
      <c r="M821">
        <v>250</v>
      </c>
      <c r="O821">
        <v>46.224662973382998</v>
      </c>
      <c r="P821">
        <v>0.67604601774749296</v>
      </c>
      <c r="Q821">
        <v>1.5</v>
      </c>
      <c r="R821">
        <v>0.33499011795867401</v>
      </c>
      <c r="S821" t="s">
        <v>2147</v>
      </c>
      <c r="T821" t="s">
        <v>2650</v>
      </c>
      <c r="U821" t="s">
        <v>2650</v>
      </c>
      <c r="V821" t="s">
        <v>2650</v>
      </c>
      <c r="W821" t="s">
        <v>3471</v>
      </c>
      <c r="X821">
        <v>1</v>
      </c>
      <c r="Y821" t="s">
        <v>4785</v>
      </c>
      <c r="Z821" t="s">
        <v>6101</v>
      </c>
      <c r="AA821">
        <v>1.3961657308374069</v>
      </c>
      <c r="AB821" t="str">
        <f>HYPERLINK("Melting_Curves/meltCurve_Q10472_GALNT1.pdf", "Melting_Curves/meltCurve_Q10472_GALNT1.pdf")</f>
        <v>Melting_Curves/meltCurve_Q10472_GALNT1.pdf</v>
      </c>
    </row>
    <row r="822" spans="1:28" x14ac:dyDescent="0.25">
      <c r="A822" t="s">
        <v>826</v>
      </c>
      <c r="B822">
        <v>1</v>
      </c>
      <c r="C822">
        <v>0.76645441389290903</v>
      </c>
      <c r="D822">
        <v>1.81244573082489</v>
      </c>
      <c r="E822">
        <v>3.6894356005788702</v>
      </c>
      <c r="F822">
        <v>4.5963338157260001</v>
      </c>
      <c r="G822">
        <v>4.9224312590448598</v>
      </c>
      <c r="H822">
        <v>4.7716353111432701</v>
      </c>
      <c r="I822">
        <v>5.7704775687409597</v>
      </c>
      <c r="J822">
        <v>4.3144235407621796</v>
      </c>
      <c r="K822">
        <v>4.9265798359864901</v>
      </c>
      <c r="L822">
        <v>11094.1605249615</v>
      </c>
      <c r="M822">
        <v>250</v>
      </c>
      <c r="O822">
        <v>44.373802370731198</v>
      </c>
      <c r="P822">
        <v>0.70424436096402199</v>
      </c>
      <c r="Q822">
        <v>1.5</v>
      </c>
      <c r="R822">
        <v>-1.57610033625576</v>
      </c>
      <c r="S822" t="s">
        <v>2148</v>
      </c>
      <c r="T822" t="s">
        <v>2650</v>
      </c>
      <c r="U822" t="s">
        <v>2650</v>
      </c>
      <c r="V822" t="s">
        <v>2650</v>
      </c>
      <c r="W822" t="s">
        <v>3472</v>
      </c>
      <c r="X822">
        <v>3</v>
      </c>
      <c r="Y822" t="s">
        <v>4786</v>
      </c>
      <c r="Z822" t="s">
        <v>6102</v>
      </c>
      <c r="AA822">
        <v>1.4270170248444469</v>
      </c>
      <c r="AB822" t="str">
        <f>HYPERLINK("Melting_Curves/meltCurve_Q10567_3_AP1B1.pdf", "Melting_Curves/meltCurve_Q10567_3_AP1B1.pdf")</f>
        <v>Melting_Curves/meltCurve_Q10567_3_AP1B1.pdf</v>
      </c>
    </row>
    <row r="823" spans="1:28" x14ac:dyDescent="0.25">
      <c r="A823" t="s">
        <v>827</v>
      </c>
      <c r="B823">
        <v>1</v>
      </c>
      <c r="C823">
        <v>0.79658076255765697</v>
      </c>
      <c r="D823">
        <v>1.23574965088232</v>
      </c>
      <c r="E823">
        <v>1.45821167110998</v>
      </c>
      <c r="F823">
        <v>1.2507722906351799</v>
      </c>
      <c r="G823">
        <v>1.39812111209851</v>
      </c>
      <c r="H823">
        <v>1.3926621810333899</v>
      </c>
      <c r="I823">
        <v>1.81329609411366</v>
      </c>
      <c r="J823">
        <v>1.1966061529347001</v>
      </c>
      <c r="K823">
        <v>1.72650332190766</v>
      </c>
      <c r="L823">
        <v>11498.171169157</v>
      </c>
      <c r="M823">
        <v>250</v>
      </c>
      <c r="O823">
        <v>45.9897414756649</v>
      </c>
      <c r="P823">
        <v>0.62827925065086099</v>
      </c>
      <c r="Q823">
        <v>1.46231040419014</v>
      </c>
      <c r="R823">
        <v>0.57403019472150196</v>
      </c>
      <c r="S823" t="s">
        <v>2149</v>
      </c>
      <c r="T823" t="s">
        <v>2650</v>
      </c>
      <c r="U823" t="s">
        <v>2650</v>
      </c>
      <c r="V823" t="s">
        <v>2650</v>
      </c>
      <c r="W823" t="s">
        <v>3473</v>
      </c>
      <c r="X823">
        <v>1</v>
      </c>
      <c r="Y823" t="s">
        <v>4787</v>
      </c>
      <c r="Z823" t="s">
        <v>6103</v>
      </c>
      <c r="AA823">
        <v>1.3699237389695911</v>
      </c>
      <c r="AB823" t="str">
        <f>HYPERLINK("Melting_Curves/meltCurve_Q12792_4_TWF1.pdf", "Melting_Curves/meltCurve_Q12792_4_TWF1.pdf")</f>
        <v>Melting_Curves/meltCurve_Q12792_4_TWF1.pdf</v>
      </c>
    </row>
    <row r="824" spans="1:28" x14ac:dyDescent="0.25">
      <c r="A824" t="s">
        <v>828</v>
      </c>
      <c r="B824">
        <v>1</v>
      </c>
      <c r="C824">
        <v>0.72174619589304201</v>
      </c>
      <c r="D824">
        <v>1.2588270054660999</v>
      </c>
      <c r="E824">
        <v>1.7910326488402999</v>
      </c>
      <c r="F824">
        <v>1.4875535529620301</v>
      </c>
      <c r="G824">
        <v>1.6915349386910901</v>
      </c>
      <c r="H824">
        <v>1.678091298567</v>
      </c>
      <c r="I824">
        <v>1.9629191904269501</v>
      </c>
      <c r="J824">
        <v>1.19242133254543</v>
      </c>
      <c r="K824">
        <v>1.75435810311715</v>
      </c>
      <c r="L824">
        <v>11496.750317161701</v>
      </c>
      <c r="M824">
        <v>250</v>
      </c>
      <c r="O824">
        <v>45.984058424909698</v>
      </c>
      <c r="P824">
        <v>0.67958334083948202</v>
      </c>
      <c r="Q824">
        <v>1.5</v>
      </c>
      <c r="R824">
        <v>0.57427074242273801</v>
      </c>
      <c r="S824" t="s">
        <v>2150</v>
      </c>
      <c r="T824" t="s">
        <v>2650</v>
      </c>
      <c r="U824" t="s">
        <v>2650</v>
      </c>
      <c r="V824" t="s">
        <v>2650</v>
      </c>
      <c r="W824" t="s">
        <v>3474</v>
      </c>
      <c r="X824">
        <v>11</v>
      </c>
      <c r="Y824" t="s">
        <v>4788</v>
      </c>
      <c r="Z824" t="s">
        <v>6104</v>
      </c>
      <c r="AA824">
        <v>1.400176292286798</v>
      </c>
      <c r="AB824" t="str">
        <f>HYPERLINK("Melting_Curves/meltCurve_Q12805_2_EFEMP1.pdf", "Melting_Curves/meltCurve_Q12805_2_EFEMP1.pdf")</f>
        <v>Melting_Curves/meltCurve_Q12805_2_EFEMP1.pdf</v>
      </c>
    </row>
    <row r="825" spans="1:28" x14ac:dyDescent="0.25">
      <c r="A825" t="s">
        <v>829</v>
      </c>
      <c r="B825">
        <v>1</v>
      </c>
      <c r="C825">
        <v>0.67548886182938195</v>
      </c>
      <c r="D825">
        <v>1.10106725879235</v>
      </c>
      <c r="E825">
        <v>1.2565957548408699</v>
      </c>
      <c r="F825">
        <v>0.89105364945204502</v>
      </c>
      <c r="G825">
        <v>0.94882171764200296</v>
      </c>
      <c r="H825">
        <v>0.90505694434496098</v>
      </c>
      <c r="I825">
        <v>1.0069001742950601</v>
      </c>
      <c r="J825">
        <v>0.60137764725544995</v>
      </c>
      <c r="K825">
        <v>0.87105746961774499</v>
      </c>
      <c r="L825">
        <v>15000</v>
      </c>
      <c r="M825">
        <v>230.371285520897</v>
      </c>
      <c r="O825">
        <v>65.107356265046405</v>
      </c>
      <c r="P825">
        <v>-0.23333083030631699</v>
      </c>
      <c r="Q825">
        <v>0.73622480382781696</v>
      </c>
      <c r="R825">
        <v>0.257685191654834</v>
      </c>
      <c r="S825" t="s">
        <v>2151</v>
      </c>
      <c r="T825" t="s">
        <v>2650</v>
      </c>
      <c r="U825" t="s">
        <v>2650</v>
      </c>
      <c r="V825" t="s">
        <v>2650</v>
      </c>
      <c r="W825" t="s">
        <v>3475</v>
      </c>
      <c r="X825">
        <v>16</v>
      </c>
      <c r="Y825" t="s">
        <v>4789</v>
      </c>
      <c r="Z825" t="s">
        <v>6105</v>
      </c>
      <c r="AA825">
        <v>0.95706020166357686</v>
      </c>
      <c r="AB825" t="str">
        <f>HYPERLINK("Melting_Curves/meltCurve_Q12841_FSTL1.pdf", "Melting_Curves/meltCurve_Q12841_FSTL1.pdf")</f>
        <v>Melting_Curves/meltCurve_Q12841_FSTL1.pdf</v>
      </c>
    </row>
    <row r="826" spans="1:28" x14ac:dyDescent="0.25">
      <c r="A826" t="s">
        <v>830</v>
      </c>
      <c r="B826">
        <v>1</v>
      </c>
      <c r="C826">
        <v>0.84969439277172498</v>
      </c>
      <c r="D826">
        <v>1.2492692001062999</v>
      </c>
      <c r="E826">
        <v>1.69067233590221</v>
      </c>
      <c r="F826">
        <v>1.40419877757109</v>
      </c>
      <c r="G826">
        <v>1.3233235893347499</v>
      </c>
      <c r="H826">
        <v>1.27283196031535</v>
      </c>
      <c r="I826">
        <v>1.9099123040127599</v>
      </c>
      <c r="J826">
        <v>0.82871822127734995</v>
      </c>
      <c r="K826">
        <v>1.3010895562051601</v>
      </c>
      <c r="L826">
        <v>11473.737373829401</v>
      </c>
      <c r="M826">
        <v>250</v>
      </c>
      <c r="O826">
        <v>45.8920126631809</v>
      </c>
      <c r="P826">
        <v>0.53128346609003596</v>
      </c>
      <c r="Q826">
        <v>1.39010667920756</v>
      </c>
      <c r="R826">
        <v>0.31074600107032702</v>
      </c>
      <c r="S826" t="s">
        <v>2152</v>
      </c>
      <c r="T826" t="s">
        <v>2650</v>
      </c>
      <c r="U826" t="s">
        <v>2650</v>
      </c>
      <c r="V826" t="s">
        <v>2650</v>
      </c>
      <c r="W826" t="s">
        <v>3476</v>
      </c>
      <c r="X826">
        <v>1</v>
      </c>
      <c r="Y826" t="s">
        <v>4790</v>
      </c>
      <c r="Z826" t="s">
        <v>6106</v>
      </c>
      <c r="AA826">
        <v>1.3134199523716701</v>
      </c>
      <c r="AB826" t="str">
        <f>HYPERLINK("Melting_Curves/meltCurve_Q12866_MERTK.pdf", "Melting_Curves/meltCurve_Q12866_MERTK.pdf")</f>
        <v>Melting_Curves/meltCurve_Q12866_MERTK.pdf</v>
      </c>
    </row>
    <row r="827" spans="1:28" x14ac:dyDescent="0.25">
      <c r="A827" t="s">
        <v>831</v>
      </c>
      <c r="B827">
        <v>1</v>
      </c>
      <c r="C827">
        <v>0.731849741855083</v>
      </c>
      <c r="D827">
        <v>1.15132633078156</v>
      </c>
      <c r="E827">
        <v>1.36772298379918</v>
      </c>
      <c r="F827">
        <v>1.1082428342531601</v>
      </c>
      <c r="G827">
        <v>1.03142246750935</v>
      </c>
      <c r="H827">
        <v>0.99367990030265296</v>
      </c>
      <c r="I827">
        <v>1.26775858999466</v>
      </c>
      <c r="J827">
        <v>0.67935730817162199</v>
      </c>
      <c r="K827">
        <v>0.94436531956560399</v>
      </c>
      <c r="L827">
        <v>1484.54831481014</v>
      </c>
      <c r="M827">
        <v>21.3511360219394</v>
      </c>
      <c r="O827">
        <v>68.928868277965194</v>
      </c>
      <c r="P827">
        <v>-1.55450371911E-2</v>
      </c>
      <c r="Q827">
        <v>0.79926597416186995</v>
      </c>
      <c r="R827">
        <v>3.1720194928679502E-2</v>
      </c>
      <c r="S827" t="s">
        <v>2153</v>
      </c>
      <c r="T827" t="s">
        <v>2650</v>
      </c>
      <c r="U827" t="s">
        <v>2650</v>
      </c>
      <c r="V827" t="s">
        <v>2650</v>
      </c>
      <c r="W827" t="s">
        <v>3477</v>
      </c>
      <c r="X827">
        <v>1</v>
      </c>
      <c r="Y827" t="s">
        <v>4791</v>
      </c>
      <c r="Z827" t="s">
        <v>6107</v>
      </c>
      <c r="AA827">
        <v>0.98472976122293909</v>
      </c>
      <c r="AB827" t="str">
        <f>HYPERLINK("Melting_Curves/meltCurve_Q12882_2_DPYD.pdf", "Melting_Curves/meltCurve_Q12882_2_DPYD.pdf")</f>
        <v>Melting_Curves/meltCurve_Q12882_2_DPYD.pdf</v>
      </c>
    </row>
    <row r="828" spans="1:28" x14ac:dyDescent="0.25">
      <c r="A828" t="s">
        <v>832</v>
      </c>
      <c r="B828">
        <v>1</v>
      </c>
      <c r="C828">
        <v>0.81491460068714905</v>
      </c>
      <c r="D828">
        <v>1.137306275799</v>
      </c>
      <c r="E828">
        <v>1.57342363497046</v>
      </c>
      <c r="F828">
        <v>1.49108930469387</v>
      </c>
      <c r="G828">
        <v>2.0466421138492699</v>
      </c>
      <c r="H828">
        <v>2.61339199644067</v>
      </c>
      <c r="I828">
        <v>3.8957411572781</v>
      </c>
      <c r="J828">
        <v>3.1378994982326902</v>
      </c>
      <c r="K828">
        <v>4.2655164742813403</v>
      </c>
      <c r="L828">
        <v>11544.6826228709</v>
      </c>
      <c r="M828">
        <v>250</v>
      </c>
      <c r="O828">
        <v>46.1757649194045</v>
      </c>
      <c r="P828">
        <v>0.67676178187909997</v>
      </c>
      <c r="Q828">
        <v>1.5</v>
      </c>
      <c r="R828">
        <v>-0.29779905546038499</v>
      </c>
      <c r="S828" t="s">
        <v>2154</v>
      </c>
      <c r="T828" t="s">
        <v>2650</v>
      </c>
      <c r="U828" t="s">
        <v>2650</v>
      </c>
      <c r="V828" t="s">
        <v>2650</v>
      </c>
      <c r="W828" t="s">
        <v>3478</v>
      </c>
      <c r="X828">
        <v>4</v>
      </c>
      <c r="Y828" t="s">
        <v>4792</v>
      </c>
      <c r="Z828" t="s">
        <v>6108</v>
      </c>
      <c r="AA828">
        <v>1.3969806369986171</v>
      </c>
      <c r="AB828" t="str">
        <f>HYPERLINK("Melting_Curves/meltCurve_Q12907_LMAN2.pdf", "Melting_Curves/meltCurve_Q12907_LMAN2.pdf")</f>
        <v>Melting_Curves/meltCurve_Q12907_LMAN2.pdf</v>
      </c>
    </row>
    <row r="829" spans="1:28" x14ac:dyDescent="0.25">
      <c r="A829" t="s">
        <v>833</v>
      </c>
      <c r="B829">
        <v>1</v>
      </c>
      <c r="C829">
        <v>0.67304990935395204</v>
      </c>
      <c r="D829">
        <v>0.80701396309325102</v>
      </c>
      <c r="E829">
        <v>0.82731627666854801</v>
      </c>
      <c r="F829">
        <v>0.64882160137349798</v>
      </c>
      <c r="G829">
        <v>0.62436517751017495</v>
      </c>
      <c r="H829">
        <v>0.537969288398506</v>
      </c>
      <c r="I829">
        <v>0.67164519575944603</v>
      </c>
      <c r="J829">
        <v>0.46333937640321299</v>
      </c>
      <c r="K829">
        <v>0.595178350602106</v>
      </c>
      <c r="L829">
        <v>288.38571555646803</v>
      </c>
      <c r="M829">
        <v>5.8456472315507302</v>
      </c>
      <c r="O829">
        <v>44.480773399567198</v>
      </c>
      <c r="P829">
        <v>-1.7599765591627198E-2</v>
      </c>
      <c r="Q829">
        <v>0.46621509524842503</v>
      </c>
      <c r="R829">
        <v>0.64610679018028105</v>
      </c>
      <c r="S829" t="s">
        <v>2155</v>
      </c>
      <c r="T829" t="s">
        <v>2650</v>
      </c>
      <c r="U829" t="s">
        <v>2650</v>
      </c>
      <c r="V829" t="s">
        <v>2650</v>
      </c>
      <c r="W829" t="s">
        <v>3479</v>
      </c>
      <c r="X829">
        <v>4</v>
      </c>
      <c r="Y829" t="s">
        <v>4793</v>
      </c>
      <c r="Z829" t="s">
        <v>6109</v>
      </c>
      <c r="AA829">
        <v>0.67918164902393907</v>
      </c>
      <c r="AB829" t="str">
        <f>HYPERLINK("Melting_Curves/meltCurve_Q12913_2_PTPRJ.pdf", "Melting_Curves/meltCurve_Q12913_2_PTPRJ.pdf")</f>
        <v>Melting_Curves/meltCurve_Q12913_2_PTPRJ.pdf</v>
      </c>
    </row>
    <row r="830" spans="1:28" x14ac:dyDescent="0.25">
      <c r="A830" t="s">
        <v>834</v>
      </c>
      <c r="B830">
        <v>1</v>
      </c>
      <c r="C830">
        <v>0.65438950554995001</v>
      </c>
      <c r="D830">
        <v>1.0530104271779299</v>
      </c>
      <c r="E830">
        <v>1.23763874873865</v>
      </c>
      <c r="F830">
        <v>1.00110998990918</v>
      </c>
      <c r="G830">
        <v>0.71796165489404595</v>
      </c>
      <c r="H830">
        <v>1.04150689539186</v>
      </c>
      <c r="I830">
        <v>1.1561049445005001</v>
      </c>
      <c r="J830">
        <v>0.696636394214598</v>
      </c>
      <c r="K830">
        <v>0.940901446350488</v>
      </c>
      <c r="L830">
        <v>15000</v>
      </c>
      <c r="M830">
        <v>229.00598053625299</v>
      </c>
      <c r="O830">
        <v>65.495462147514601</v>
      </c>
      <c r="P830">
        <v>-0.15825016786005699</v>
      </c>
      <c r="Q830">
        <v>0.81896245184285199</v>
      </c>
      <c r="R830">
        <v>0.112987326144133</v>
      </c>
      <c r="S830" t="s">
        <v>2156</v>
      </c>
      <c r="T830" t="s">
        <v>2650</v>
      </c>
      <c r="U830" t="s">
        <v>2650</v>
      </c>
      <c r="V830" t="s">
        <v>2650</v>
      </c>
      <c r="W830" t="s">
        <v>3480</v>
      </c>
      <c r="X830">
        <v>2</v>
      </c>
      <c r="Y830" t="s">
        <v>4794</v>
      </c>
      <c r="Z830" t="s">
        <v>6110</v>
      </c>
      <c r="AA830">
        <v>0.97287202239978654</v>
      </c>
      <c r="AB830" t="str">
        <f>HYPERLINK("Melting_Curves/meltCurve_Q12965_MYO1E.pdf", "Melting_Curves/meltCurve_Q12965_MYO1E.pdf")</f>
        <v>Melting_Curves/meltCurve_Q12965_MYO1E.pdf</v>
      </c>
    </row>
    <row r="831" spans="1:28" x14ac:dyDescent="0.25">
      <c r="A831" t="s">
        <v>835</v>
      </c>
      <c r="B831">
        <v>1</v>
      </c>
      <c r="C831">
        <v>1.5013769947561</v>
      </c>
      <c r="D831">
        <v>1.57811144226054</v>
      </c>
      <c r="E831">
        <v>1.63805787150564</v>
      </c>
      <c r="F831">
        <v>1.7161127249405801</v>
      </c>
      <c r="G831">
        <v>2.0035462330705101</v>
      </c>
      <c r="H831">
        <v>2.0998604142302</v>
      </c>
      <c r="I831">
        <v>2.50458369487305</v>
      </c>
      <c r="J831">
        <v>1.9044403365148801</v>
      </c>
      <c r="K831">
        <v>2.1790093182932799</v>
      </c>
      <c r="L831">
        <v>10309.6423518015</v>
      </c>
      <c r="M831">
        <v>250</v>
      </c>
      <c r="O831">
        <v>41.235930444984</v>
      </c>
      <c r="P831">
        <v>0.75783424125948096</v>
      </c>
      <c r="Q831">
        <v>1.5</v>
      </c>
      <c r="R831">
        <v>-0.456293766378425</v>
      </c>
      <c r="S831" t="s">
        <v>2157</v>
      </c>
      <c r="T831" t="s">
        <v>2650</v>
      </c>
      <c r="U831" t="s">
        <v>2650</v>
      </c>
      <c r="V831" t="s">
        <v>2650</v>
      </c>
      <c r="W831" t="s">
        <v>3481</v>
      </c>
      <c r="X831">
        <v>1</v>
      </c>
      <c r="Y831" t="s">
        <v>4795</v>
      </c>
      <c r="Z831" t="s">
        <v>6111</v>
      </c>
      <c r="AA831">
        <v>1.4793198747347069</v>
      </c>
      <c r="AB831" t="str">
        <f>HYPERLINK("Melting_Curves/meltCurve_Q13045_2_FLII.pdf", "Melting_Curves/meltCurve_Q13045_2_FLII.pdf")</f>
        <v>Melting_Curves/meltCurve_Q13045_2_FLII.pdf</v>
      </c>
    </row>
    <row r="832" spans="1:28" x14ac:dyDescent="0.25">
      <c r="A832" t="s">
        <v>836</v>
      </c>
      <c r="B832">
        <v>1</v>
      </c>
      <c r="C832">
        <v>0.82238312197103802</v>
      </c>
      <c r="D832">
        <v>1.17143561914159</v>
      </c>
      <c r="E832">
        <v>1.48988653182042</v>
      </c>
      <c r="F832">
        <v>1.13759830523231</v>
      </c>
      <c r="G832">
        <v>1.24314402623408</v>
      </c>
      <c r="H832">
        <v>1.17381525871325</v>
      </c>
      <c r="I832">
        <v>1.4562233378798</v>
      </c>
      <c r="J832">
        <v>0.93493717171130897</v>
      </c>
      <c r="K832">
        <v>1.29934124611858</v>
      </c>
      <c r="L832">
        <v>11462.829975013399</v>
      </c>
      <c r="M832">
        <v>250</v>
      </c>
      <c r="O832">
        <v>45.848391660630298</v>
      </c>
      <c r="P832">
        <v>0.33786551204069099</v>
      </c>
      <c r="Q832">
        <v>1.2478494128531601</v>
      </c>
      <c r="R832">
        <v>0.38935330677480601</v>
      </c>
      <c r="S832" t="s">
        <v>2158</v>
      </c>
      <c r="T832" t="s">
        <v>2650</v>
      </c>
      <c r="U832" t="s">
        <v>2650</v>
      </c>
      <c r="V832" t="s">
        <v>2650</v>
      </c>
      <c r="W832" t="s">
        <v>3482</v>
      </c>
      <c r="X832">
        <v>3</v>
      </c>
      <c r="Y832" t="s">
        <v>4796</v>
      </c>
      <c r="Z832" t="s">
        <v>6112</v>
      </c>
      <c r="AA832">
        <v>1.199487928764351</v>
      </c>
      <c r="AB832" t="str">
        <f>HYPERLINK("Melting_Curves/meltCurve_Q13126_7_MTAP.pdf", "Melting_Curves/meltCurve_Q13126_7_MTAP.pdf")</f>
        <v>Melting_Curves/meltCurve_Q13126_7_MTAP.pdf</v>
      </c>
    </row>
    <row r="833" spans="1:28" x14ac:dyDescent="0.25">
      <c r="A833" t="s">
        <v>837</v>
      </c>
      <c r="B833">
        <v>1</v>
      </c>
      <c r="C833">
        <v>0.67285891601158498</v>
      </c>
      <c r="D833">
        <v>1.0255895738518801</v>
      </c>
      <c r="E833">
        <v>1.13452627223831</v>
      </c>
      <c r="F833">
        <v>0.78051303268514705</v>
      </c>
      <c r="G833">
        <v>0.86001241208109203</v>
      </c>
      <c r="H833">
        <v>0.76421183285064098</v>
      </c>
      <c r="I833">
        <v>0.84923458833264398</v>
      </c>
      <c r="J833">
        <v>0.53291270169631799</v>
      </c>
      <c r="K833">
        <v>0.74234588332643803</v>
      </c>
      <c r="L833">
        <v>293.25659695432898</v>
      </c>
      <c r="M833">
        <v>3.49518476443391</v>
      </c>
      <c r="O833">
        <v>65.744903988634803</v>
      </c>
      <c r="P833">
        <v>-1.35514870983803E-2</v>
      </c>
      <c r="Q833">
        <v>0</v>
      </c>
      <c r="R833">
        <v>0.30917239101607902</v>
      </c>
      <c r="S833" t="s">
        <v>2159</v>
      </c>
      <c r="T833" t="s">
        <v>2650</v>
      </c>
      <c r="U833" t="s">
        <v>2650</v>
      </c>
      <c r="V833" t="s">
        <v>2650</v>
      </c>
      <c r="W833" t="s">
        <v>3483</v>
      </c>
      <c r="X833">
        <v>6</v>
      </c>
      <c r="Y833" t="s">
        <v>4797</v>
      </c>
      <c r="Z833" t="s">
        <v>6113</v>
      </c>
      <c r="AA833">
        <v>0.84878880121389355</v>
      </c>
      <c r="AB833" t="str">
        <f>HYPERLINK("Melting_Curves/meltCurve_Q13162_PRDX4.pdf", "Melting_Curves/meltCurve_Q13162_PRDX4.pdf")</f>
        <v>Melting_Curves/meltCurve_Q13162_PRDX4.pdf</v>
      </c>
    </row>
    <row r="834" spans="1:28" x14ac:dyDescent="0.25">
      <c r="A834" t="s">
        <v>838</v>
      </c>
      <c r="B834">
        <v>1</v>
      </c>
      <c r="C834">
        <v>0.70277271629602001</v>
      </c>
      <c r="D834">
        <v>1.0928409914162101</v>
      </c>
      <c r="E834">
        <v>1.2797743188952999</v>
      </c>
      <c r="F834">
        <v>1.1689095738842199</v>
      </c>
      <c r="G834">
        <v>1.58299488485434</v>
      </c>
      <c r="H834">
        <v>1.8870496805778101</v>
      </c>
      <c r="I834">
        <v>2.58018484775307</v>
      </c>
      <c r="J834">
        <v>1.78501020833791</v>
      </c>
      <c r="K834">
        <v>2.3707492700489601</v>
      </c>
      <c r="L834">
        <v>1463.3214821598899</v>
      </c>
      <c r="M834">
        <v>28.625787469693201</v>
      </c>
      <c r="O834">
        <v>50.8714738470727</v>
      </c>
      <c r="P834">
        <v>7.03390580608588E-2</v>
      </c>
      <c r="Q834">
        <v>1.5</v>
      </c>
      <c r="R834">
        <v>0.30755222655810899</v>
      </c>
      <c r="S834" t="s">
        <v>2160</v>
      </c>
      <c r="T834" t="s">
        <v>2650</v>
      </c>
      <c r="U834" t="s">
        <v>2650</v>
      </c>
      <c r="V834" t="s">
        <v>2650</v>
      </c>
      <c r="W834" t="s">
        <v>3484</v>
      </c>
      <c r="X834">
        <v>7</v>
      </c>
      <c r="Y834" t="s">
        <v>4798</v>
      </c>
      <c r="Z834" t="s">
        <v>6114</v>
      </c>
      <c r="AA834">
        <v>1.311224306374057</v>
      </c>
      <c r="AB834" t="str">
        <f>HYPERLINK("Melting_Curves/meltCurve_Q13214_2_SEMA3B.pdf", "Melting_Curves/meltCurve_Q13214_2_SEMA3B.pdf")</f>
        <v>Melting_Curves/meltCurve_Q13214_2_SEMA3B.pdf</v>
      </c>
    </row>
    <row r="835" spans="1:28" x14ac:dyDescent="0.25">
      <c r="A835" t="s">
        <v>839</v>
      </c>
      <c r="B835">
        <v>1</v>
      </c>
      <c r="C835">
        <v>0.78447127572723796</v>
      </c>
      <c r="D835">
        <v>1.1524083702144099</v>
      </c>
      <c r="E835">
        <v>1.46736561680918</v>
      </c>
      <c r="F835">
        <v>1.27658660250075</v>
      </c>
      <c r="G835">
        <v>1.7335539036651899</v>
      </c>
      <c r="H835">
        <v>1.6708632320715</v>
      </c>
      <c r="I835">
        <v>2.0930692218450599</v>
      </c>
      <c r="J835">
        <v>1.3578395565676999</v>
      </c>
      <c r="K835">
        <v>1.82902934731234</v>
      </c>
      <c r="L835">
        <v>11537.9253814822</v>
      </c>
      <c r="M835">
        <v>250</v>
      </c>
      <c r="O835">
        <v>46.148737097675799</v>
      </c>
      <c r="P835">
        <v>0.67715813060235097</v>
      </c>
      <c r="Q835">
        <v>1.5</v>
      </c>
      <c r="R835">
        <v>0.54620346918637597</v>
      </c>
      <c r="S835" t="s">
        <v>2161</v>
      </c>
      <c r="T835" t="s">
        <v>2650</v>
      </c>
      <c r="U835" t="s">
        <v>2650</v>
      </c>
      <c r="V835" t="s">
        <v>2650</v>
      </c>
      <c r="W835" t="s">
        <v>3485</v>
      </c>
      <c r="X835">
        <v>11</v>
      </c>
      <c r="Y835" t="s">
        <v>4799</v>
      </c>
      <c r="Z835" t="s">
        <v>6115</v>
      </c>
      <c r="AA835">
        <v>1.3974311434755711</v>
      </c>
      <c r="AB835" t="str">
        <f>HYPERLINK("Melting_Curves/meltCurve_Q13217_DNAJC3.pdf", "Melting_Curves/meltCurve_Q13217_DNAJC3.pdf")</f>
        <v>Melting_Curves/meltCurve_Q13217_DNAJC3.pdf</v>
      </c>
    </row>
    <row r="836" spans="1:28" x14ac:dyDescent="0.25">
      <c r="A836" t="s">
        <v>840</v>
      </c>
      <c r="B836">
        <v>1</v>
      </c>
      <c r="C836">
        <v>0.78909519233749703</v>
      </c>
      <c r="D836">
        <v>1.00626143020985</v>
      </c>
      <c r="E836">
        <v>1.24075509128669</v>
      </c>
      <c r="F836">
        <v>1.12851430519823</v>
      </c>
      <c r="G836">
        <v>1.1904156721738299</v>
      </c>
      <c r="H836">
        <v>1.4789064195158199</v>
      </c>
      <c r="I836">
        <v>1.9205542295651099</v>
      </c>
      <c r="J836">
        <v>1.54632528439912</v>
      </c>
      <c r="K836">
        <v>1.9654071479495401</v>
      </c>
      <c r="L836">
        <v>3693.5737471922898</v>
      </c>
      <c r="M836">
        <v>64.3475923902472</v>
      </c>
      <c r="O836">
        <v>57.344986470810198</v>
      </c>
      <c r="P836">
        <v>0.14026426854673399</v>
      </c>
      <c r="Q836">
        <v>1.5</v>
      </c>
      <c r="R836">
        <v>0.63124088590941996</v>
      </c>
      <c r="S836" t="s">
        <v>2162</v>
      </c>
      <c r="T836" t="s">
        <v>2650</v>
      </c>
      <c r="U836" t="s">
        <v>2650</v>
      </c>
      <c r="V836" t="s">
        <v>2650</v>
      </c>
      <c r="W836" t="s">
        <v>3486</v>
      </c>
      <c r="X836">
        <v>5</v>
      </c>
      <c r="Y836" t="s">
        <v>4800</v>
      </c>
      <c r="Z836" t="s">
        <v>6116</v>
      </c>
      <c r="AA836">
        <v>1.209231863799334</v>
      </c>
      <c r="AB836" t="str">
        <f>HYPERLINK("Melting_Curves/meltCurve_Q13228_SELENBP1.pdf", "Melting_Curves/meltCurve_Q13228_SELENBP1.pdf")</f>
        <v>Melting_Curves/meltCurve_Q13228_SELENBP1.pdf</v>
      </c>
    </row>
    <row r="837" spans="1:28" x14ac:dyDescent="0.25">
      <c r="A837" t="s">
        <v>841</v>
      </c>
      <c r="B837">
        <v>1</v>
      </c>
      <c r="C837">
        <v>0.96160837635425001</v>
      </c>
      <c r="D837">
        <v>1.5973060423180401</v>
      </c>
      <c r="E837">
        <v>2.7010470442812502</v>
      </c>
      <c r="F837">
        <v>2.8711917399839999</v>
      </c>
      <c r="G837">
        <v>3.94841125572602</v>
      </c>
      <c r="H837">
        <v>3.15640223951138</v>
      </c>
      <c r="I837">
        <v>4.40849269250345</v>
      </c>
      <c r="J837">
        <v>3.5861266632734701</v>
      </c>
      <c r="K837">
        <v>3.9922198792990602</v>
      </c>
      <c r="L837">
        <v>11079.9298781819</v>
      </c>
      <c r="M837">
        <v>250</v>
      </c>
      <c r="O837">
        <v>44.316883356140799</v>
      </c>
      <c r="P837">
        <v>0.70514886603381799</v>
      </c>
      <c r="Q837">
        <v>1.5</v>
      </c>
      <c r="R837">
        <v>-1.19771157029845</v>
      </c>
      <c r="S837" t="s">
        <v>2163</v>
      </c>
      <c r="T837" t="s">
        <v>2650</v>
      </c>
      <c r="U837" t="s">
        <v>2650</v>
      </c>
      <c r="V837" t="s">
        <v>2650</v>
      </c>
      <c r="W837" t="s">
        <v>3487</v>
      </c>
      <c r="X837">
        <v>2</v>
      </c>
      <c r="Y837" t="s">
        <v>4801</v>
      </c>
      <c r="Z837" t="s">
        <v>6117</v>
      </c>
      <c r="AA837">
        <v>1.42796578457888</v>
      </c>
      <c r="AB837" t="str">
        <f>HYPERLINK("Melting_Curves/meltCurve_Q13231_2_CHIT1.pdf", "Melting_Curves/meltCurve_Q13231_2_CHIT1.pdf")</f>
        <v>Melting_Curves/meltCurve_Q13231_2_CHIT1.pdf</v>
      </c>
    </row>
    <row r="838" spans="1:28" x14ac:dyDescent="0.25">
      <c r="A838" t="s">
        <v>842</v>
      </c>
      <c r="B838">
        <v>1</v>
      </c>
      <c r="C838">
        <v>1.11253057896167</v>
      </c>
      <c r="D838">
        <v>1.2620277249252501</v>
      </c>
      <c r="E838">
        <v>1.48944459545166</v>
      </c>
      <c r="F838">
        <v>1.29736341397119</v>
      </c>
      <c r="G838">
        <v>1.51055540454834</v>
      </c>
      <c r="H838">
        <v>1.1902690948627299</v>
      </c>
      <c r="I838">
        <v>1.6223611488629199</v>
      </c>
      <c r="J838">
        <v>1.2247893449306899</v>
      </c>
      <c r="K838">
        <v>1.49596810727553</v>
      </c>
      <c r="L838">
        <v>1353.0034470375101</v>
      </c>
      <c r="M838">
        <v>30.345104747584401</v>
      </c>
      <c r="O838">
        <v>44.394913881190099</v>
      </c>
      <c r="P838">
        <v>6.9091444910761607E-2</v>
      </c>
      <c r="Q838">
        <v>1.4043208473523801</v>
      </c>
      <c r="R838">
        <v>0.538550975302308</v>
      </c>
      <c r="S838" t="s">
        <v>2164</v>
      </c>
      <c r="T838" t="s">
        <v>2650</v>
      </c>
      <c r="U838" t="s">
        <v>2650</v>
      </c>
      <c r="V838" t="s">
        <v>2650</v>
      </c>
      <c r="W838" t="s">
        <v>3488</v>
      </c>
      <c r="X838">
        <v>7</v>
      </c>
      <c r="Y838" t="s">
        <v>4802</v>
      </c>
      <c r="Z838" t="s">
        <v>6118</v>
      </c>
      <c r="AA838">
        <v>1.339860919966444</v>
      </c>
      <c r="AB838" t="str">
        <f>HYPERLINK("Melting_Curves/meltCurve_Q13232_NME3.pdf", "Melting_Curves/meltCurve_Q13232_NME3.pdf")</f>
        <v>Melting_Curves/meltCurve_Q13232_NME3.pdf</v>
      </c>
    </row>
    <row r="839" spans="1:28" x14ac:dyDescent="0.25">
      <c r="A839" t="s">
        <v>843</v>
      </c>
      <c r="B839">
        <v>1</v>
      </c>
      <c r="C839">
        <v>0.70662828158201396</v>
      </c>
      <c r="D839">
        <v>1.2060456508328199</v>
      </c>
      <c r="E839">
        <v>1.1860991157721601</v>
      </c>
      <c r="F839">
        <v>0.89307012132428498</v>
      </c>
      <c r="G839">
        <v>0.85838645554870097</v>
      </c>
      <c r="H839">
        <v>0.88484474604153796</v>
      </c>
      <c r="I839">
        <v>0.99650421550483204</v>
      </c>
      <c r="J839">
        <v>0.48429638768935501</v>
      </c>
      <c r="K839">
        <v>0.85118925217629704</v>
      </c>
      <c r="L839">
        <v>953.623512286768</v>
      </c>
      <c r="M839">
        <v>15.2823673138362</v>
      </c>
      <c r="O839">
        <v>61.3610467992428</v>
      </c>
      <c r="P839">
        <v>-2.00451105835565E-2</v>
      </c>
      <c r="Q839">
        <v>0.67809338201013802</v>
      </c>
      <c r="R839">
        <v>0.24805428451738001</v>
      </c>
      <c r="S839" t="s">
        <v>2165</v>
      </c>
      <c r="T839" t="s">
        <v>2650</v>
      </c>
      <c r="U839" t="s">
        <v>2650</v>
      </c>
      <c r="V839" t="s">
        <v>2650</v>
      </c>
      <c r="W839" t="s">
        <v>3489</v>
      </c>
      <c r="X839">
        <v>1</v>
      </c>
      <c r="Y839" t="s">
        <v>4803</v>
      </c>
      <c r="Z839" t="s">
        <v>6119</v>
      </c>
      <c r="AA839">
        <v>0.91696940818065487</v>
      </c>
      <c r="AB839" t="str">
        <f>HYPERLINK("Melting_Curves/meltCurve_Q13237_2_PRKG2.pdf", "Melting_Curves/meltCurve_Q13237_2_PRKG2.pdf")</f>
        <v>Melting_Curves/meltCurve_Q13237_2_PRKG2.pdf</v>
      </c>
    </row>
    <row r="840" spans="1:28" x14ac:dyDescent="0.25">
      <c r="A840" t="s">
        <v>844</v>
      </c>
      <c r="B840">
        <v>1</v>
      </c>
      <c r="C840">
        <v>0.77845367540211496</v>
      </c>
      <c r="D840">
        <v>1.32544971689132</v>
      </c>
      <c r="E840">
        <v>1.7295184646991</v>
      </c>
      <c r="F840">
        <v>1.33076113644335</v>
      </c>
      <c r="G840">
        <v>1.6372200230495599</v>
      </c>
      <c r="H840">
        <v>1.7354311770306201</v>
      </c>
      <c r="I840">
        <v>2.1422057423460399</v>
      </c>
      <c r="J840">
        <v>1.2769454326802601</v>
      </c>
      <c r="K840">
        <v>1.89016385228241</v>
      </c>
      <c r="L840">
        <v>11471.342236034299</v>
      </c>
      <c r="M840">
        <v>250</v>
      </c>
      <c r="O840">
        <v>45.882411576921399</v>
      </c>
      <c r="P840">
        <v>0.68108855990489203</v>
      </c>
      <c r="Q840">
        <v>1.5</v>
      </c>
      <c r="R840">
        <v>0.47787276231529402</v>
      </c>
      <c r="S840" t="s">
        <v>2166</v>
      </c>
      <c r="T840" t="s">
        <v>2650</v>
      </c>
      <c r="U840" t="s">
        <v>2650</v>
      </c>
      <c r="V840" t="s">
        <v>2650</v>
      </c>
      <c r="W840" t="s">
        <v>3490</v>
      </c>
      <c r="X840">
        <v>5</v>
      </c>
      <c r="Y840" t="s">
        <v>4804</v>
      </c>
      <c r="Z840" t="s">
        <v>6120</v>
      </c>
      <c r="AA840">
        <v>1.4018702535435319</v>
      </c>
      <c r="AB840" t="str">
        <f>HYPERLINK("Melting_Curves/meltCurve_Q13275_SEMA3F.pdf", "Melting_Curves/meltCurve_Q13275_SEMA3F.pdf")</f>
        <v>Melting_Curves/meltCurve_Q13275_SEMA3F.pdf</v>
      </c>
    </row>
    <row r="841" spans="1:28" x14ac:dyDescent="0.25">
      <c r="A841" t="s">
        <v>845</v>
      </c>
      <c r="B841">
        <v>1</v>
      </c>
      <c r="C841">
        <v>0.94238993034076501</v>
      </c>
      <c r="D841">
        <v>1.2691697372313799</v>
      </c>
      <c r="E841">
        <v>1.36666577015142</v>
      </c>
      <c r="F841">
        <v>1.2337215244345201</v>
      </c>
      <c r="G841">
        <v>1.15895215298136</v>
      </c>
      <c r="H841">
        <v>1.0249051935128199</v>
      </c>
      <c r="I841">
        <v>1.2553454721497499</v>
      </c>
      <c r="J841">
        <v>0.91788816868830903</v>
      </c>
      <c r="K841">
        <v>1.10077727871762</v>
      </c>
      <c r="L841">
        <v>11087.5897233295</v>
      </c>
      <c r="M841">
        <v>250</v>
      </c>
      <c r="O841">
        <v>44.347523883304497</v>
      </c>
      <c r="P841">
        <v>0.233852640193038</v>
      </c>
      <c r="Q841">
        <v>1.16593255688703</v>
      </c>
      <c r="R841">
        <v>0.27887669216571398</v>
      </c>
      <c r="S841" t="s">
        <v>2167</v>
      </c>
      <c r="T841" t="s">
        <v>2650</v>
      </c>
      <c r="U841" t="s">
        <v>2650</v>
      </c>
      <c r="V841" t="s">
        <v>2650</v>
      </c>
      <c r="W841" t="s">
        <v>3491</v>
      </c>
      <c r="X841">
        <v>2</v>
      </c>
      <c r="Y841" t="s">
        <v>4805</v>
      </c>
      <c r="Z841" t="s">
        <v>6121</v>
      </c>
      <c r="AA841">
        <v>1.141857435842784</v>
      </c>
      <c r="AB841" t="str">
        <f>HYPERLINK("Melting_Curves/meltCurve_Q13308_5_PTK7.pdf", "Melting_Curves/meltCurve_Q13308_5_PTK7.pdf")</f>
        <v>Melting_Curves/meltCurve_Q13308_5_PTK7.pdf</v>
      </c>
    </row>
    <row r="842" spans="1:28" x14ac:dyDescent="0.25">
      <c r="A842" t="s">
        <v>846</v>
      </c>
      <c r="B842">
        <v>1</v>
      </c>
      <c r="C842">
        <v>0.83584662333848303</v>
      </c>
      <c r="D842">
        <v>1.2059706066371301</v>
      </c>
      <c r="E842">
        <v>1.36598695047052</v>
      </c>
      <c r="F842">
        <v>1.22633655528174</v>
      </c>
      <c r="G842">
        <v>1.2651914654545</v>
      </c>
      <c r="H842">
        <v>1.21896906163413</v>
      </c>
      <c r="I842">
        <v>1.40505892718056</v>
      </c>
      <c r="J842">
        <v>0.92254555205127897</v>
      </c>
      <c r="K842">
        <v>1.2222633655528199</v>
      </c>
      <c r="L842">
        <v>11405.4391243062</v>
      </c>
      <c r="M842">
        <v>250</v>
      </c>
      <c r="O842">
        <v>45.6188336514154</v>
      </c>
      <c r="P842">
        <v>0.31831150176853501</v>
      </c>
      <c r="Q842">
        <v>1.23233600801563</v>
      </c>
      <c r="R842">
        <v>0.45222692492483002</v>
      </c>
      <c r="S842" t="s">
        <v>2168</v>
      </c>
      <c r="T842" t="s">
        <v>2650</v>
      </c>
      <c r="U842" t="s">
        <v>2650</v>
      </c>
      <c r="V842" t="s">
        <v>2650</v>
      </c>
      <c r="W842" t="s">
        <v>3492</v>
      </c>
      <c r="X842">
        <v>18</v>
      </c>
      <c r="Y842" t="s">
        <v>4806</v>
      </c>
      <c r="Z842" t="s">
        <v>6122</v>
      </c>
      <c r="AA842">
        <v>1.188779523836637</v>
      </c>
      <c r="AB842" t="str">
        <f>HYPERLINK("Melting_Curves/meltCurve_Q13332_6_PTPRS.pdf", "Melting_Curves/meltCurve_Q13332_6_PTPRS.pdf")</f>
        <v>Melting_Curves/meltCurve_Q13332_6_PTPRS.pdf</v>
      </c>
    </row>
    <row r="843" spans="1:28" x14ac:dyDescent="0.25">
      <c r="A843" t="s">
        <v>847</v>
      </c>
      <c r="B843">
        <v>1</v>
      </c>
      <c r="C843">
        <v>0.83817783007219504</v>
      </c>
      <c r="D843">
        <v>1.6086343893900401</v>
      </c>
      <c r="E843">
        <v>2.1552563152772302</v>
      </c>
      <c r="F843">
        <v>2.4006042910474901</v>
      </c>
      <c r="G843">
        <v>2.6379628419110701</v>
      </c>
      <c r="H843">
        <v>2.4303830566087101</v>
      </c>
      <c r="I843">
        <v>3.0956842579276902</v>
      </c>
      <c r="J843">
        <v>2.2161212068389502</v>
      </c>
      <c r="K843">
        <v>2.7794482938946299</v>
      </c>
      <c r="L843">
        <v>11109.3539164309</v>
      </c>
      <c r="M843">
        <v>250</v>
      </c>
      <c r="O843">
        <v>44.434571948903397</v>
      </c>
      <c r="P843">
        <v>0.70328122122192505</v>
      </c>
      <c r="Q843">
        <v>1.5</v>
      </c>
      <c r="R843">
        <v>-0.62717937493473397</v>
      </c>
      <c r="S843" t="s">
        <v>2169</v>
      </c>
      <c r="T843" t="s">
        <v>2650</v>
      </c>
      <c r="U843" t="s">
        <v>2650</v>
      </c>
      <c r="V843" t="s">
        <v>2650</v>
      </c>
      <c r="W843" t="s">
        <v>3493</v>
      </c>
      <c r="X843">
        <v>5</v>
      </c>
      <c r="Y843" t="s">
        <v>4807</v>
      </c>
      <c r="Z843" t="s">
        <v>6123</v>
      </c>
      <c r="AA843">
        <v>1.4260040787514909</v>
      </c>
      <c r="AB843" t="str">
        <f>HYPERLINK("Melting_Curves/meltCurve_Q13404_UBE2V1.pdf", "Melting_Curves/meltCurve_Q13404_UBE2V1.pdf")</f>
        <v>Melting_Curves/meltCurve_Q13404_UBE2V1.pdf</v>
      </c>
    </row>
    <row r="844" spans="1:28" x14ac:dyDescent="0.25">
      <c r="A844" t="s">
        <v>848</v>
      </c>
      <c r="B844">
        <v>1</v>
      </c>
      <c r="C844">
        <v>0.80841459010473105</v>
      </c>
      <c r="D844">
        <v>1.1365113759479999</v>
      </c>
      <c r="E844">
        <v>1.3328518117250501</v>
      </c>
      <c r="F844">
        <v>1.0703021548092</v>
      </c>
      <c r="G844">
        <v>1.1239316239316199</v>
      </c>
      <c r="H844">
        <v>1.03954496208017</v>
      </c>
      <c r="I844">
        <v>1.2382930058986401</v>
      </c>
      <c r="J844">
        <v>0.83164800770434599</v>
      </c>
      <c r="K844">
        <v>1.1093054050800499</v>
      </c>
      <c r="L844">
        <v>11144.6680408511</v>
      </c>
      <c r="M844">
        <v>250</v>
      </c>
      <c r="O844">
        <v>44.575819481567599</v>
      </c>
      <c r="P844">
        <v>0.15465475698429201</v>
      </c>
      <c r="Q844">
        <v>1.1103018001972</v>
      </c>
      <c r="R844">
        <v>0.208976704784019</v>
      </c>
      <c r="S844" t="s">
        <v>2170</v>
      </c>
      <c r="T844" t="s">
        <v>2650</v>
      </c>
      <c r="U844" t="s">
        <v>2650</v>
      </c>
      <c r="V844" t="s">
        <v>2650</v>
      </c>
      <c r="W844" t="s">
        <v>3494</v>
      </c>
      <c r="X844">
        <v>24</v>
      </c>
      <c r="Y844" t="s">
        <v>4808</v>
      </c>
      <c r="Z844" t="s">
        <v>6124</v>
      </c>
      <c r="AA844">
        <v>1.093458644678345</v>
      </c>
      <c r="AB844" t="str">
        <f>HYPERLINK("Melting_Curves/meltCurve_Q13421_MSLN.pdf", "Melting_Curves/meltCurve_Q13421_MSLN.pdf")</f>
        <v>Melting_Curves/meltCurve_Q13421_MSLN.pdf</v>
      </c>
    </row>
    <row r="845" spans="1:28" x14ac:dyDescent="0.25">
      <c r="A845" t="s">
        <v>849</v>
      </c>
      <c r="B845">
        <v>1</v>
      </c>
      <c r="C845">
        <v>0.76946784466817297</v>
      </c>
      <c r="D845">
        <v>1.2360639155379201</v>
      </c>
      <c r="E845">
        <v>1.4640040460874699</v>
      </c>
      <c r="F845">
        <v>1.1800825022522199</v>
      </c>
      <c r="G845">
        <v>1.0723396184666001</v>
      </c>
      <c r="H845">
        <v>1.1017369727047099</v>
      </c>
      <c r="I845">
        <v>1.51122947321838</v>
      </c>
      <c r="J845">
        <v>0.78185898752983196</v>
      </c>
      <c r="K845">
        <v>1.20203568775584</v>
      </c>
      <c r="L845">
        <v>11138.0371763157</v>
      </c>
      <c r="M845">
        <v>250</v>
      </c>
      <c r="O845">
        <v>44.549297784086299</v>
      </c>
      <c r="P845">
        <v>0.27171336009399</v>
      </c>
      <c r="Q845">
        <v>1.1936742294995699</v>
      </c>
      <c r="R845">
        <v>0.230140687662963</v>
      </c>
      <c r="S845" t="s">
        <v>2171</v>
      </c>
      <c r="T845" t="s">
        <v>2650</v>
      </c>
      <c r="U845" t="s">
        <v>2650</v>
      </c>
      <c r="V845" t="s">
        <v>2650</v>
      </c>
      <c r="W845" t="s">
        <v>3495</v>
      </c>
      <c r="X845">
        <v>23</v>
      </c>
      <c r="Y845" t="s">
        <v>4808</v>
      </c>
      <c r="Z845" t="s">
        <v>6125</v>
      </c>
      <c r="AA845">
        <v>1.1642712900001591</v>
      </c>
      <c r="AB845" t="str">
        <f>HYPERLINK("Melting_Curves/meltCurve_Q13421_4_MSLN.pdf", "Melting_Curves/meltCurve_Q13421_4_MSLN.pdf")</f>
        <v>Melting_Curves/meltCurve_Q13421_4_MSLN.pdf</v>
      </c>
    </row>
    <row r="846" spans="1:28" x14ac:dyDescent="0.25">
      <c r="A846" t="s">
        <v>850</v>
      </c>
      <c r="B846">
        <v>1</v>
      </c>
      <c r="C846">
        <v>0.796762301650906</v>
      </c>
      <c r="D846">
        <v>1.05758134316397</v>
      </c>
      <c r="E846">
        <v>1.23459288347492</v>
      </c>
      <c r="F846">
        <v>0.93873216861676601</v>
      </c>
      <c r="G846">
        <v>0.97986456162846602</v>
      </c>
      <c r="H846">
        <v>0.84272319281936203</v>
      </c>
      <c r="I846">
        <v>1.0030253245712499</v>
      </c>
      <c r="J846">
        <v>0.63676069882994102</v>
      </c>
      <c r="K846">
        <v>0.80153069402147803</v>
      </c>
      <c r="L846">
        <v>1356.40375657237</v>
      </c>
      <c r="M846">
        <v>21.173684032373099</v>
      </c>
      <c r="O846">
        <v>63.497617979424597</v>
      </c>
      <c r="P846">
        <v>-2.5085478784908601E-2</v>
      </c>
      <c r="Q846">
        <v>0.69909307711653301</v>
      </c>
      <c r="R846">
        <v>0.366583000220157</v>
      </c>
      <c r="S846" t="s">
        <v>2172</v>
      </c>
      <c r="T846" t="s">
        <v>2650</v>
      </c>
      <c r="U846" t="s">
        <v>2650</v>
      </c>
      <c r="V846" t="s">
        <v>2650</v>
      </c>
      <c r="W846" t="s">
        <v>3496</v>
      </c>
      <c r="X846">
        <v>14</v>
      </c>
      <c r="Y846" t="s">
        <v>4809</v>
      </c>
      <c r="Z846" t="s">
        <v>6126</v>
      </c>
      <c r="AA846">
        <v>0.93902198103028733</v>
      </c>
      <c r="AB846" t="str">
        <f>HYPERLINK("Melting_Curves/meltCurve_Q13438_OS9.pdf", "Melting_Curves/meltCurve_Q13438_OS9.pdf")</f>
        <v>Melting_Curves/meltCurve_Q13438_OS9.pdf</v>
      </c>
    </row>
    <row r="847" spans="1:28" x14ac:dyDescent="0.25">
      <c r="A847" t="s">
        <v>851</v>
      </c>
      <c r="B847">
        <v>1</v>
      </c>
      <c r="C847">
        <v>0.78914088939025095</v>
      </c>
      <c r="D847">
        <v>1.20901858338776</v>
      </c>
      <c r="E847">
        <v>1.49329098141661</v>
      </c>
      <c r="F847">
        <v>1.1725345841002199</v>
      </c>
      <c r="G847">
        <v>1.1058896871103701</v>
      </c>
      <c r="H847">
        <v>1.0155554236181199</v>
      </c>
      <c r="I847">
        <v>1.2288784658315</v>
      </c>
      <c r="J847">
        <v>0.80805082230006497</v>
      </c>
      <c r="K847">
        <v>1.13328979397969</v>
      </c>
      <c r="L847">
        <v>11127.290957242099</v>
      </c>
      <c r="M847">
        <v>250</v>
      </c>
      <c r="O847">
        <v>44.506308354952701</v>
      </c>
      <c r="P847">
        <v>0.20476649687718901</v>
      </c>
      <c r="Q847">
        <v>1.14581443703365</v>
      </c>
      <c r="R847">
        <v>0.202779943182335</v>
      </c>
      <c r="S847" t="s">
        <v>2173</v>
      </c>
      <c r="T847" t="s">
        <v>2650</v>
      </c>
      <c r="U847" t="s">
        <v>2650</v>
      </c>
      <c r="V847" t="s">
        <v>2650</v>
      </c>
      <c r="W847" t="s">
        <v>3497</v>
      </c>
      <c r="X847">
        <v>1</v>
      </c>
      <c r="Y847" t="s">
        <v>4810</v>
      </c>
      <c r="Z847" t="s">
        <v>6127</v>
      </c>
      <c r="AA847">
        <v>1.1238863408728139</v>
      </c>
      <c r="AB847" t="str">
        <f>HYPERLINK("Melting_Curves/meltCurve_Q13442_PDAP1.pdf", "Melting_Curves/meltCurve_Q13442_PDAP1.pdf")</f>
        <v>Melting_Curves/meltCurve_Q13442_PDAP1.pdf</v>
      </c>
    </row>
    <row r="848" spans="1:28" x14ac:dyDescent="0.25">
      <c r="A848" t="s">
        <v>852</v>
      </c>
      <c r="B848">
        <v>1</v>
      </c>
      <c r="C848">
        <v>0.66509261674928299</v>
      </c>
      <c r="D848">
        <v>0.93103748152013199</v>
      </c>
      <c r="E848">
        <v>0.99104269936516198</v>
      </c>
      <c r="F848">
        <v>0.75893555961387904</v>
      </c>
      <c r="G848">
        <v>0.87877206713627298</v>
      </c>
      <c r="H848">
        <v>0.74372554135142199</v>
      </c>
      <c r="I848">
        <v>0.78591181841899305</v>
      </c>
      <c r="J848">
        <v>0.49893034176884898</v>
      </c>
      <c r="K848">
        <v>0.67600660927037104</v>
      </c>
      <c r="L848">
        <v>208.03632904673901</v>
      </c>
      <c r="M848">
        <v>2.3836047768287298</v>
      </c>
      <c r="O848">
        <v>57.3858382508839</v>
      </c>
      <c r="P848">
        <v>-1.0986336355602901E-2</v>
      </c>
      <c r="Q848">
        <v>0</v>
      </c>
      <c r="R848">
        <v>0.38414211815211002</v>
      </c>
      <c r="S848" t="s">
        <v>2174</v>
      </c>
      <c r="T848" t="s">
        <v>2650</v>
      </c>
      <c r="U848" t="s">
        <v>2650</v>
      </c>
      <c r="V848" t="s">
        <v>2650</v>
      </c>
      <c r="W848" t="s">
        <v>3498</v>
      </c>
      <c r="X848">
        <v>4</v>
      </c>
      <c r="Y848" t="s">
        <v>4811</v>
      </c>
      <c r="Z848" t="s">
        <v>6128</v>
      </c>
      <c r="AA848">
        <v>0.7993879841581546</v>
      </c>
      <c r="AB848" t="str">
        <f>HYPERLINK("Melting_Curves/meltCurve_Q13443_2_ADAM9.pdf", "Melting_Curves/meltCurve_Q13443_2_ADAM9.pdf")</f>
        <v>Melting_Curves/meltCurve_Q13443_2_ADAM9.pdf</v>
      </c>
    </row>
    <row r="849" spans="1:28" x14ac:dyDescent="0.25">
      <c r="A849" t="s">
        <v>853</v>
      </c>
      <c r="B849">
        <v>1</v>
      </c>
      <c r="C849">
        <v>0.75732754366919997</v>
      </c>
      <c r="D849">
        <v>0.96726866015329405</v>
      </c>
      <c r="E849">
        <v>1.2683311951051</v>
      </c>
      <c r="F849">
        <v>1.0255271554985399</v>
      </c>
      <c r="G849">
        <v>1.1359913155037999</v>
      </c>
      <c r="H849">
        <v>0.87950261521760598</v>
      </c>
      <c r="I849">
        <v>1.11118786802197</v>
      </c>
      <c r="J849">
        <v>0.72344485015954496</v>
      </c>
      <c r="K849">
        <v>0.93197144642915897</v>
      </c>
      <c r="L849">
        <v>15000</v>
      </c>
      <c r="M849">
        <v>229.096109663801</v>
      </c>
      <c r="O849">
        <v>65.469714806303202</v>
      </c>
      <c r="P849">
        <v>-0.15063335123722599</v>
      </c>
      <c r="Q849">
        <v>0.82781161075836596</v>
      </c>
      <c r="R849">
        <v>0.215586087234102</v>
      </c>
      <c r="S849" t="s">
        <v>2175</v>
      </c>
      <c r="T849" t="s">
        <v>2650</v>
      </c>
      <c r="U849" t="s">
        <v>2650</v>
      </c>
      <c r="V849" t="s">
        <v>2650</v>
      </c>
      <c r="W849" t="s">
        <v>3499</v>
      </c>
      <c r="X849">
        <v>2</v>
      </c>
      <c r="Y849" t="s">
        <v>4812</v>
      </c>
      <c r="Z849" t="s">
        <v>6129</v>
      </c>
      <c r="AA849">
        <v>0.97405011454980539</v>
      </c>
      <c r="AB849" t="str">
        <f>HYPERLINK("Melting_Curves/meltCurve_Q13444_10_ADAM15.pdf", "Melting_Curves/meltCurve_Q13444_10_ADAM15.pdf")</f>
        <v>Melting_Curves/meltCurve_Q13444_10_ADAM15.pdf</v>
      </c>
    </row>
    <row r="850" spans="1:28" x14ac:dyDescent="0.25">
      <c r="A850" t="s">
        <v>854</v>
      </c>
      <c r="B850">
        <v>1</v>
      </c>
      <c r="C850">
        <v>0.77744576082153105</v>
      </c>
      <c r="D850">
        <v>1.11918941099724</v>
      </c>
      <c r="E850">
        <v>1.27333179015593</v>
      </c>
      <c r="F850">
        <v>0.94855958418383501</v>
      </c>
      <c r="G850">
        <v>1.0163611876854399</v>
      </c>
      <c r="H850">
        <v>0.88048441741545802</v>
      </c>
      <c r="I850">
        <v>1.00408240567328</v>
      </c>
      <c r="J850">
        <v>0.69822815176448305</v>
      </c>
      <c r="K850">
        <v>0.93585993560741598</v>
      </c>
      <c r="L850">
        <v>1774.4472459107301</v>
      </c>
      <c r="M850">
        <v>28.715129090810599</v>
      </c>
      <c r="O850">
        <v>61.4974862595422</v>
      </c>
      <c r="P850">
        <v>-1.8028526356160798E-2</v>
      </c>
      <c r="Q850">
        <v>0.84555870525663102</v>
      </c>
      <c r="R850">
        <v>0.194818578080212</v>
      </c>
      <c r="S850" t="s">
        <v>2176</v>
      </c>
      <c r="T850" t="s">
        <v>2650</v>
      </c>
      <c r="U850" t="s">
        <v>2650</v>
      </c>
      <c r="V850" t="s">
        <v>2650</v>
      </c>
      <c r="W850" t="s">
        <v>3500</v>
      </c>
      <c r="X850">
        <v>12</v>
      </c>
      <c r="Y850" t="s">
        <v>4813</v>
      </c>
      <c r="Z850" t="s">
        <v>6130</v>
      </c>
      <c r="AA850">
        <v>0.95852447180673628</v>
      </c>
      <c r="AB850" t="str">
        <f>HYPERLINK("Melting_Curves/meltCurve_Q13449_LSAMP.pdf", "Melting_Curves/meltCurve_Q13449_LSAMP.pdf")</f>
        <v>Melting_Curves/meltCurve_Q13449_LSAMP.pdf</v>
      </c>
    </row>
    <row r="851" spans="1:28" x14ac:dyDescent="0.25">
      <c r="A851" t="s">
        <v>855</v>
      </c>
      <c r="B851">
        <v>1</v>
      </c>
      <c r="C851">
        <v>1.06158092535126</v>
      </c>
      <c r="D851">
        <v>1.9197841782712399</v>
      </c>
      <c r="E851">
        <v>2.3930637640931298</v>
      </c>
      <c r="F851">
        <v>1.9437990238121201</v>
      </c>
      <c r="G851">
        <v>2.1875341119965102</v>
      </c>
      <c r="H851">
        <v>1.8273114288833101</v>
      </c>
      <c r="I851">
        <v>2.2003212375442498</v>
      </c>
      <c r="J851">
        <v>1.46573206293761</v>
      </c>
      <c r="K851">
        <v>1.96578664213202</v>
      </c>
      <c r="L851">
        <v>10809.2042442039</v>
      </c>
      <c r="M851">
        <v>250</v>
      </c>
      <c r="O851">
        <v>43.234050124281097</v>
      </c>
      <c r="P851">
        <v>0.72280991392346094</v>
      </c>
      <c r="Q851">
        <v>1.5</v>
      </c>
      <c r="R851">
        <v>-0.21602170974823701</v>
      </c>
      <c r="S851" t="s">
        <v>2177</v>
      </c>
      <c r="T851" t="s">
        <v>2650</v>
      </c>
      <c r="U851" t="s">
        <v>2650</v>
      </c>
      <c r="V851" t="s">
        <v>2650</v>
      </c>
      <c r="W851" t="s">
        <v>3501</v>
      </c>
      <c r="X851">
        <v>15</v>
      </c>
      <c r="Y851" t="s">
        <v>4814</v>
      </c>
      <c r="Z851" t="s">
        <v>6131</v>
      </c>
      <c r="AA851">
        <v>1.4460151104119561</v>
      </c>
      <c r="AB851" t="str">
        <f>HYPERLINK("Melting_Curves/meltCurve_Q13510_ASAH1.pdf", "Melting_Curves/meltCurve_Q13510_ASAH1.pdf")</f>
        <v>Melting_Curves/meltCurve_Q13510_ASAH1.pdf</v>
      </c>
    </row>
    <row r="852" spans="1:28" x14ac:dyDescent="0.25">
      <c r="A852" t="s">
        <v>856</v>
      </c>
      <c r="B852">
        <v>1</v>
      </c>
      <c r="C852">
        <v>0.84798925495773103</v>
      </c>
      <c r="D852">
        <v>1.13044165284033</v>
      </c>
      <c r="E852">
        <v>1.32440546733033</v>
      </c>
      <c r="F852">
        <v>1.1620447183376801</v>
      </c>
      <c r="G852">
        <v>1.10887256063838</v>
      </c>
      <c r="H852">
        <v>1.08943667535751</v>
      </c>
      <c r="I852">
        <v>1.36722762107924</v>
      </c>
      <c r="J852">
        <v>0.96397250533301704</v>
      </c>
      <c r="K852">
        <v>1.2251718416686399</v>
      </c>
      <c r="L852">
        <v>11452.909796309799</v>
      </c>
      <c r="M852">
        <v>250</v>
      </c>
      <c r="O852">
        <v>45.8087073472349</v>
      </c>
      <c r="P852">
        <v>0.24190882152806401</v>
      </c>
      <c r="Q852">
        <v>1.1773044871160601</v>
      </c>
      <c r="R852">
        <v>0.38476417186103301</v>
      </c>
      <c r="S852" t="s">
        <v>2178</v>
      </c>
      <c r="T852" t="s">
        <v>2650</v>
      </c>
      <c r="U852" t="s">
        <v>2650</v>
      </c>
      <c r="V852" t="s">
        <v>2650</v>
      </c>
      <c r="W852" t="s">
        <v>3502</v>
      </c>
      <c r="X852">
        <v>10</v>
      </c>
      <c r="Y852" t="s">
        <v>4815</v>
      </c>
      <c r="Z852" t="s">
        <v>6132</v>
      </c>
      <c r="AA852">
        <v>1.1429425752286</v>
      </c>
      <c r="AB852" t="str">
        <f>HYPERLINK("Melting_Curves/meltCurve_Q13561_DCTN2.pdf", "Melting_Curves/meltCurve_Q13561_DCTN2.pdf")</f>
        <v>Melting_Curves/meltCurve_Q13561_DCTN2.pdf</v>
      </c>
    </row>
    <row r="853" spans="1:28" x14ac:dyDescent="0.25">
      <c r="A853" t="s">
        <v>857</v>
      </c>
      <c r="B853">
        <v>1</v>
      </c>
      <c r="C853">
        <v>0.73550892300263604</v>
      </c>
      <c r="D853">
        <v>1.1490855682755601</v>
      </c>
      <c r="E853">
        <v>1.3149910468181001</v>
      </c>
      <c r="F853">
        <v>1.0360340422107299</v>
      </c>
      <c r="G853">
        <v>1.09611089873851</v>
      </c>
      <c r="H853">
        <v>1.01941532704263</v>
      </c>
      <c r="I853">
        <v>1.2072309518540101</v>
      </c>
      <c r="J853">
        <v>0.744743778041567</v>
      </c>
      <c r="K853">
        <v>1.0759109108102101</v>
      </c>
      <c r="L853">
        <v>926.07022306313002</v>
      </c>
      <c r="M853">
        <v>6.48729658393819</v>
      </c>
      <c r="Q853">
        <v>1.49999999999998</v>
      </c>
      <c r="R853">
        <v>-4.75856843060374E-2</v>
      </c>
      <c r="S853" t="s">
        <v>2179</v>
      </c>
      <c r="T853" t="s">
        <v>2650</v>
      </c>
      <c r="U853" t="s">
        <v>2650</v>
      </c>
      <c r="V853" t="s">
        <v>2650</v>
      </c>
      <c r="W853" t="s">
        <v>3503</v>
      </c>
      <c r="X853">
        <v>4</v>
      </c>
      <c r="Y853" t="s">
        <v>4816</v>
      </c>
      <c r="Z853" t="s">
        <v>6133</v>
      </c>
      <c r="AA853">
        <v>1.0000910398015821</v>
      </c>
      <c r="AB853" t="str">
        <f>HYPERLINK("Melting_Curves/meltCurve_Q13740_2_ALCAM.pdf", "Melting_Curves/meltCurve_Q13740_2_ALCAM.pdf")</f>
        <v>Melting_Curves/meltCurve_Q13740_2_ALCAM.pdf</v>
      </c>
    </row>
    <row r="854" spans="1:28" x14ac:dyDescent="0.25">
      <c r="A854" t="s">
        <v>858</v>
      </c>
      <c r="B854">
        <v>1</v>
      </c>
      <c r="C854">
        <v>0.81806981519507205</v>
      </c>
      <c r="D854">
        <v>1.0732077493081</v>
      </c>
      <c r="E854">
        <v>1.2518525131684699</v>
      </c>
      <c r="F854">
        <v>1.08722435496831</v>
      </c>
      <c r="G854">
        <v>1.1179358985804799</v>
      </c>
      <c r="H854">
        <v>1.03276493170253</v>
      </c>
      <c r="I854">
        <v>1.1868583162217701</v>
      </c>
      <c r="J854">
        <v>0.77969824122846199</v>
      </c>
      <c r="K854">
        <v>1.0117846620837401</v>
      </c>
      <c r="L854">
        <v>1324.4226374196201</v>
      </c>
      <c r="M854">
        <v>18.087929613980901</v>
      </c>
      <c r="Q854">
        <v>0.88509905065059502</v>
      </c>
      <c r="R854">
        <v>-5.4984154460710997E-2</v>
      </c>
      <c r="S854" t="s">
        <v>2180</v>
      </c>
      <c r="T854" t="s">
        <v>2650</v>
      </c>
      <c r="U854" t="s">
        <v>2650</v>
      </c>
      <c r="V854" t="s">
        <v>2650</v>
      </c>
      <c r="W854" t="s">
        <v>3504</v>
      </c>
      <c r="X854">
        <v>9</v>
      </c>
      <c r="Y854" t="s">
        <v>4817</v>
      </c>
      <c r="Z854" t="s">
        <v>6134</v>
      </c>
      <c r="AA854">
        <v>0.99539261682484936</v>
      </c>
      <c r="AB854" t="str">
        <f>HYPERLINK("Melting_Curves/meltCurve_Q13813_3_SPTAN1.pdf", "Melting_Curves/meltCurve_Q13813_3_SPTAN1.pdf")</f>
        <v>Melting_Curves/meltCurve_Q13813_3_SPTAN1.pdf</v>
      </c>
    </row>
    <row r="855" spans="1:28" x14ac:dyDescent="0.25">
      <c r="A855" t="s">
        <v>859</v>
      </c>
      <c r="B855">
        <v>1</v>
      </c>
      <c r="C855">
        <v>0.718718879971882</v>
      </c>
      <c r="D855">
        <v>1.1302208423642399</v>
      </c>
      <c r="E855">
        <v>1.2691992267588299</v>
      </c>
      <c r="F855">
        <v>1.02669732294535</v>
      </c>
      <c r="G855">
        <v>1.2072520649053999</v>
      </c>
      <c r="H855">
        <v>1.1376750043934201</v>
      </c>
      <c r="I855">
        <v>1.2842539980083201</v>
      </c>
      <c r="J855">
        <v>0.799089098471091</v>
      </c>
      <c r="K855">
        <v>1.1568302969949</v>
      </c>
      <c r="L855">
        <v>11195.225438011899</v>
      </c>
      <c r="M855">
        <v>250</v>
      </c>
      <c r="O855">
        <v>44.778036654758999</v>
      </c>
      <c r="P855">
        <v>0.176456338327933</v>
      </c>
      <c r="Q855">
        <v>1.1264218923748399</v>
      </c>
      <c r="R855">
        <v>0.23030387976619399</v>
      </c>
      <c r="S855" t="s">
        <v>2181</v>
      </c>
      <c r="T855" t="s">
        <v>2650</v>
      </c>
      <c r="U855" t="s">
        <v>2650</v>
      </c>
      <c r="V855" t="s">
        <v>2650</v>
      </c>
      <c r="W855" t="s">
        <v>3505</v>
      </c>
      <c r="X855">
        <v>4</v>
      </c>
      <c r="Y855" t="s">
        <v>4818</v>
      </c>
      <c r="Z855" t="s">
        <v>6135</v>
      </c>
      <c r="AA855">
        <v>1.106264935347018</v>
      </c>
      <c r="AB855" t="str">
        <f>HYPERLINK("Melting_Curves/meltCurve_Q13938_3_CAPS.pdf", "Melting_Curves/meltCurve_Q13938_3_CAPS.pdf")</f>
        <v>Melting_Curves/meltCurve_Q13938_3_CAPS.pdf</v>
      </c>
    </row>
    <row r="856" spans="1:28" x14ac:dyDescent="0.25">
      <c r="A856" t="s">
        <v>860</v>
      </c>
      <c r="B856">
        <v>1</v>
      </c>
      <c r="C856">
        <v>0.95864495114006498</v>
      </c>
      <c r="D856">
        <v>1.1753745928338799</v>
      </c>
      <c r="E856">
        <v>1.40909446254072</v>
      </c>
      <c r="F856">
        <v>1.1074136807817601</v>
      </c>
      <c r="G856">
        <v>1.26822149837134</v>
      </c>
      <c r="H856">
        <v>0.868221498371336</v>
      </c>
      <c r="I856">
        <v>1.2109706840390899</v>
      </c>
      <c r="J856">
        <v>0.68680130293159602</v>
      </c>
      <c r="K856">
        <v>0.99155700325732898</v>
      </c>
      <c r="L856">
        <v>2476.6533436796899</v>
      </c>
      <c r="M856">
        <v>37.671581821022698</v>
      </c>
      <c r="O856">
        <v>65.558866739460001</v>
      </c>
      <c r="P856">
        <v>-1.7277205998768499E-2</v>
      </c>
      <c r="Q856">
        <v>0.87973208601999997</v>
      </c>
      <c r="R856">
        <v>-6.2593842653138096E-2</v>
      </c>
      <c r="S856" t="s">
        <v>2182</v>
      </c>
      <c r="T856" t="s">
        <v>2650</v>
      </c>
      <c r="U856" t="s">
        <v>2650</v>
      </c>
      <c r="V856" t="s">
        <v>2650</v>
      </c>
      <c r="W856" t="s">
        <v>3506</v>
      </c>
      <c r="X856">
        <v>1</v>
      </c>
      <c r="Y856" t="s">
        <v>4819</v>
      </c>
      <c r="Z856" t="s">
        <v>6136</v>
      </c>
      <c r="AA856">
        <v>0.98273911303071271</v>
      </c>
      <c r="AB856" t="str">
        <f>HYPERLINK("Melting_Curves/meltCurve_Q14005_4_IL16.pdf", "Melting_Curves/meltCurve_Q14005_4_IL16.pdf")</f>
        <v>Melting_Curves/meltCurve_Q14005_4_IL16.pdf</v>
      </c>
    </row>
    <row r="857" spans="1:28" x14ac:dyDescent="0.25">
      <c r="A857" t="s">
        <v>861</v>
      </c>
      <c r="B857">
        <v>1</v>
      </c>
      <c r="C857">
        <v>0.94501581696461401</v>
      </c>
      <c r="D857">
        <v>1.2332376958728799</v>
      </c>
      <c r="E857">
        <v>1.48826601927463</v>
      </c>
      <c r="F857">
        <v>1.40516442286471</v>
      </c>
      <c r="G857">
        <v>1.75708085043773</v>
      </c>
      <c r="H857">
        <v>1.73677628190981</v>
      </c>
      <c r="I857">
        <v>1.9558596336349601</v>
      </c>
      <c r="J857">
        <v>1.63922607224307</v>
      </c>
      <c r="K857">
        <v>1.96424630324432</v>
      </c>
      <c r="L857">
        <v>11506.1777977897</v>
      </c>
      <c r="M857">
        <v>250</v>
      </c>
      <c r="O857">
        <v>46.021765697279001</v>
      </c>
      <c r="P857">
        <v>0.67902653049842898</v>
      </c>
      <c r="Q857">
        <v>1.5</v>
      </c>
      <c r="R857">
        <v>0.51979097543873598</v>
      </c>
      <c r="S857" t="s">
        <v>2183</v>
      </c>
      <c r="T857" t="s">
        <v>2650</v>
      </c>
      <c r="U857" t="s">
        <v>2650</v>
      </c>
      <c r="V857" t="s">
        <v>2650</v>
      </c>
      <c r="W857" t="s">
        <v>3507</v>
      </c>
      <c r="X857">
        <v>1</v>
      </c>
      <c r="Y857" t="s">
        <v>4820</v>
      </c>
      <c r="Z857" t="s">
        <v>6137</v>
      </c>
      <c r="AA857">
        <v>1.399547760488101</v>
      </c>
      <c r="AB857" t="str">
        <f>HYPERLINK("Melting_Curves/meltCurve_Q14008_2_CKAP5.pdf", "Melting_Curves/meltCurve_Q14008_2_CKAP5.pdf")</f>
        <v>Melting_Curves/meltCurve_Q14008_2_CKAP5.pdf</v>
      </c>
    </row>
    <row r="858" spans="1:28" x14ac:dyDescent="0.25">
      <c r="A858" t="s">
        <v>862</v>
      </c>
      <c r="B858">
        <v>1</v>
      </c>
      <c r="C858">
        <v>0.64531287565842699</v>
      </c>
      <c r="D858">
        <v>1.51535418442506</v>
      </c>
      <c r="E858">
        <v>2.4195134745262599</v>
      </c>
      <c r="F858">
        <v>2.1604703516709298</v>
      </c>
      <c r="G858">
        <v>3.4148580420956001</v>
      </c>
      <c r="H858">
        <v>2.4282560706401801</v>
      </c>
      <c r="I858">
        <v>2.8061547876641999</v>
      </c>
      <c r="J858">
        <v>2.4724061810154501</v>
      </c>
      <c r="K858">
        <v>2.7189473914278799</v>
      </c>
      <c r="L858">
        <v>11169.7239159907</v>
      </c>
      <c r="M858">
        <v>250</v>
      </c>
      <c r="O858">
        <v>44.676037895541</v>
      </c>
      <c r="P858">
        <v>0.69948013469099202</v>
      </c>
      <c r="Q858">
        <v>1.5</v>
      </c>
      <c r="R858">
        <v>-0.52701107484725296</v>
      </c>
      <c r="S858" t="s">
        <v>2184</v>
      </c>
      <c r="T858" t="s">
        <v>2650</v>
      </c>
      <c r="U858" t="s">
        <v>2650</v>
      </c>
      <c r="V858" t="s">
        <v>2650</v>
      </c>
      <c r="W858" t="s">
        <v>3508</v>
      </c>
      <c r="X858">
        <v>1</v>
      </c>
      <c r="Y858" t="s">
        <v>4821</v>
      </c>
      <c r="Z858" t="s">
        <v>6138</v>
      </c>
      <c r="AA858">
        <v>1.421979200217353</v>
      </c>
      <c r="AB858" t="str">
        <f>HYPERLINK("Melting_Curves/meltCurve_Q14019_COTL1.pdf", "Melting_Curves/meltCurve_Q14019_COTL1.pdf")</f>
        <v>Melting_Curves/meltCurve_Q14019_COTL1.pdf</v>
      </c>
    </row>
    <row r="859" spans="1:28" x14ac:dyDescent="0.25">
      <c r="A859" t="s">
        <v>863</v>
      </c>
      <c r="B859">
        <v>1</v>
      </c>
      <c r="C859">
        <v>0.68140022987356996</v>
      </c>
      <c r="D859">
        <v>0.89425815801309305</v>
      </c>
      <c r="E859">
        <v>0.89345859777122605</v>
      </c>
      <c r="F859">
        <v>0.64052271250812098</v>
      </c>
      <c r="G859">
        <v>0.68147518864624501</v>
      </c>
      <c r="H859">
        <v>0.61758532806956201</v>
      </c>
      <c r="I859">
        <v>0.70263854879816101</v>
      </c>
      <c r="J859">
        <v>0.42751486682324702</v>
      </c>
      <c r="K859">
        <v>0.60819049522762503</v>
      </c>
      <c r="L859">
        <v>217.79143464777999</v>
      </c>
      <c r="M859">
        <v>3.4645374138523399</v>
      </c>
      <c r="O859">
        <v>49.095586123158903</v>
      </c>
      <c r="P859">
        <v>-1.39490663956725E-2</v>
      </c>
      <c r="Q859">
        <v>0.22493965581384601</v>
      </c>
      <c r="R859">
        <v>0.58315464674312201</v>
      </c>
      <c r="S859" t="s">
        <v>2185</v>
      </c>
      <c r="T859" t="s">
        <v>2650</v>
      </c>
      <c r="U859" t="s">
        <v>2650</v>
      </c>
      <c r="V859" t="s">
        <v>2650</v>
      </c>
      <c r="W859" t="s">
        <v>3509</v>
      </c>
      <c r="X859">
        <v>4</v>
      </c>
      <c r="Y859" t="s">
        <v>4822</v>
      </c>
      <c r="Z859" t="s">
        <v>6139</v>
      </c>
      <c r="AA859">
        <v>0.71395325760176609</v>
      </c>
      <c r="AB859" t="str">
        <f>HYPERLINK("Melting_Curves/meltCurve_Q14055_COL9A2.pdf", "Melting_Curves/meltCurve_Q14055_COL9A2.pdf")</f>
        <v>Melting_Curves/meltCurve_Q14055_COL9A2.pdf</v>
      </c>
    </row>
    <row r="860" spans="1:28" x14ac:dyDescent="0.25">
      <c r="A860" t="s">
        <v>864</v>
      </c>
      <c r="B860">
        <v>1</v>
      </c>
      <c r="C860">
        <v>1.0109890109890101</v>
      </c>
      <c r="D860">
        <v>1.55880429094715</v>
      </c>
      <c r="E860">
        <v>1.6370355834641499</v>
      </c>
      <c r="F860">
        <v>1.48829147043433</v>
      </c>
      <c r="G860">
        <v>1.67373103087389</v>
      </c>
      <c r="H860">
        <v>1.3398744113029799</v>
      </c>
      <c r="I860">
        <v>1.91405023547881</v>
      </c>
      <c r="J860">
        <v>1.36348770277342</v>
      </c>
      <c r="K860">
        <v>1.7861067503924599</v>
      </c>
      <c r="L860">
        <v>10887.8095875739</v>
      </c>
      <c r="M860">
        <v>250</v>
      </c>
      <c r="O860">
        <v>43.548451335623803</v>
      </c>
      <c r="P860">
        <v>0.71759153450395896</v>
      </c>
      <c r="Q860">
        <v>1.5</v>
      </c>
      <c r="R860">
        <v>0.58022238948307803</v>
      </c>
      <c r="S860" t="s">
        <v>2186</v>
      </c>
      <c r="T860" t="s">
        <v>2650</v>
      </c>
      <c r="U860" t="s">
        <v>2650</v>
      </c>
      <c r="V860" t="s">
        <v>2650</v>
      </c>
      <c r="W860" t="s">
        <v>3510</v>
      </c>
      <c r="X860">
        <v>1</v>
      </c>
      <c r="Y860" t="s">
        <v>4823</v>
      </c>
      <c r="Z860" t="s">
        <v>6140</v>
      </c>
      <c r="AA860">
        <v>1.4407744782884331</v>
      </c>
      <c r="AB860" t="str">
        <f>HYPERLINK("Melting_Curves/meltCurve_Q14112_2_NID2.pdf", "Melting_Curves/meltCurve_Q14112_2_NID2.pdf")</f>
        <v>Melting_Curves/meltCurve_Q14112_2_NID2.pdf</v>
      </c>
    </row>
    <row r="861" spans="1:28" x14ac:dyDescent="0.25">
      <c r="A861" t="s">
        <v>865</v>
      </c>
      <c r="B861">
        <v>1</v>
      </c>
      <c r="C861">
        <v>0.80147461400883302</v>
      </c>
      <c r="D861">
        <v>1.1015439646676599</v>
      </c>
      <c r="E861">
        <v>1.27375260064971</v>
      </c>
      <c r="F861">
        <v>1.05909406139358</v>
      </c>
      <c r="G861">
        <v>1.11778661897288</v>
      </c>
      <c r="H861">
        <v>1.0527795014052601</v>
      </c>
      <c r="I861">
        <v>1.2279081651275701</v>
      </c>
      <c r="J861">
        <v>0.80355513377377097</v>
      </c>
      <c r="K861">
        <v>1.09292988283389</v>
      </c>
      <c r="L861">
        <v>11165.930450105299</v>
      </c>
      <c r="M861">
        <v>250</v>
      </c>
      <c r="O861">
        <v>44.6608641449603</v>
      </c>
      <c r="P861">
        <v>0.12759170028914499</v>
      </c>
      <c r="Q861">
        <v>1.0911736883007299</v>
      </c>
      <c r="R861">
        <v>0.177537933953098</v>
      </c>
      <c r="S861" t="s">
        <v>2187</v>
      </c>
      <c r="T861" t="s">
        <v>2650</v>
      </c>
      <c r="U861" t="s">
        <v>2650</v>
      </c>
      <c r="V861" t="s">
        <v>2650</v>
      </c>
      <c r="W861" t="s">
        <v>3511</v>
      </c>
      <c r="X861">
        <v>8</v>
      </c>
      <c r="Y861" t="s">
        <v>4824</v>
      </c>
      <c r="Z861" t="s">
        <v>6141</v>
      </c>
      <c r="AA861">
        <v>1.076992917804791</v>
      </c>
      <c r="AB861" t="str">
        <f>HYPERLINK("Melting_Curves/meltCurve_Q14118_DAG1.pdf", "Melting_Curves/meltCurve_Q14118_DAG1.pdf")</f>
        <v>Melting_Curves/meltCurve_Q14118_DAG1.pdf</v>
      </c>
    </row>
    <row r="862" spans="1:28" x14ac:dyDescent="0.25">
      <c r="A862" t="s">
        <v>866</v>
      </c>
      <c r="B862">
        <v>1</v>
      </c>
      <c r="C862">
        <v>0.77782995333548599</v>
      </c>
      <c r="D862">
        <v>1.18260793003258</v>
      </c>
      <c r="E862">
        <v>1.3929797787104199</v>
      </c>
      <c r="F862">
        <v>1.06835324156957</v>
      </c>
      <c r="G862">
        <v>1.03539459396003</v>
      </c>
      <c r="H862">
        <v>1.01391130807384</v>
      </c>
      <c r="I862">
        <v>1.2516655416311999</v>
      </c>
      <c r="J862">
        <v>0.78519648988935498</v>
      </c>
      <c r="K862">
        <v>1.06800105655504</v>
      </c>
      <c r="L862">
        <v>38.388626323666699</v>
      </c>
      <c r="M862">
        <v>1.0000000000000001E-5</v>
      </c>
      <c r="Q862">
        <v>1.17628898365485</v>
      </c>
      <c r="R862">
        <v>1.61205176160018E-3</v>
      </c>
      <c r="S862" t="s">
        <v>2188</v>
      </c>
      <c r="T862" t="s">
        <v>2650</v>
      </c>
      <c r="U862" t="s">
        <v>2650</v>
      </c>
      <c r="V862" t="s">
        <v>2650</v>
      </c>
      <c r="W862" t="s">
        <v>3512</v>
      </c>
      <c r="X862">
        <v>4</v>
      </c>
      <c r="Y862" t="s">
        <v>4825</v>
      </c>
      <c r="Z862" t="s">
        <v>6142</v>
      </c>
      <c r="AA862">
        <v>1.0579590521210691</v>
      </c>
      <c r="AB862" t="str">
        <f>HYPERLINK("Melting_Curves/meltCurve_Q14126_DSG2.pdf", "Melting_Curves/meltCurve_Q14126_DSG2.pdf")</f>
        <v>Melting_Curves/meltCurve_Q14126_DSG2.pdf</v>
      </c>
    </row>
    <row r="863" spans="1:28" x14ac:dyDescent="0.25">
      <c r="A863" t="s">
        <v>867</v>
      </c>
      <c r="B863">
        <v>1</v>
      </c>
      <c r="C863">
        <v>0.88452390715984597</v>
      </c>
      <c r="D863">
        <v>1.13089477569097</v>
      </c>
      <c r="E863">
        <v>1.4447360507395</v>
      </c>
      <c r="F863">
        <v>1.2736269444216599</v>
      </c>
      <c r="G863">
        <v>1.61912572787665</v>
      </c>
      <c r="H863">
        <v>1.6575084064627199</v>
      </c>
      <c r="I863">
        <v>2.5123431477076998</v>
      </c>
      <c r="J863">
        <v>1.66568249542087</v>
      </c>
      <c r="K863">
        <v>1.7700046474753299</v>
      </c>
      <c r="L863">
        <v>1499.1258929723699</v>
      </c>
      <c r="M863">
        <v>31.351189051951099</v>
      </c>
      <c r="O863">
        <v>47.623907002250597</v>
      </c>
      <c r="P863">
        <v>8.2288924148937098E-2</v>
      </c>
      <c r="Q863">
        <v>1.5</v>
      </c>
      <c r="R863">
        <v>0.38171970836802099</v>
      </c>
      <c r="S863" t="s">
        <v>2189</v>
      </c>
      <c r="T863" t="s">
        <v>2650</v>
      </c>
      <c r="U863" t="s">
        <v>2650</v>
      </c>
      <c r="V863" t="s">
        <v>2650</v>
      </c>
      <c r="W863" t="s">
        <v>3513</v>
      </c>
      <c r="X863">
        <v>1</v>
      </c>
      <c r="Y863" t="s">
        <v>4826</v>
      </c>
      <c r="Z863" t="s">
        <v>6143</v>
      </c>
      <c r="AA863">
        <v>1.3669732285558609</v>
      </c>
      <c r="AB863" t="str">
        <f>HYPERLINK("Melting_Curves/meltCurve_Q14195_DPYSL3.pdf", "Melting_Curves/meltCurve_Q14195_DPYSL3.pdf")</f>
        <v>Melting_Curves/meltCurve_Q14195_DPYSL3.pdf</v>
      </c>
    </row>
    <row r="864" spans="1:28" x14ac:dyDescent="0.25">
      <c r="A864" t="s">
        <v>868</v>
      </c>
      <c r="B864">
        <v>1</v>
      </c>
      <c r="C864">
        <v>0.77635919364691497</v>
      </c>
      <c r="D864">
        <v>1.16554673182651</v>
      </c>
      <c r="E864">
        <v>1.7058032987171701</v>
      </c>
      <c r="F864">
        <v>1.6219303604153901</v>
      </c>
      <c r="G864">
        <v>1.85846059865608</v>
      </c>
      <c r="H864">
        <v>1.8250458155161899</v>
      </c>
      <c r="I864">
        <v>2.4678680513133799</v>
      </c>
      <c r="J864">
        <v>1.9376298106292</v>
      </c>
      <c r="K864">
        <v>2.65076359193647</v>
      </c>
      <c r="L864">
        <v>11532.349209142199</v>
      </c>
      <c r="M864">
        <v>250</v>
      </c>
      <c r="O864">
        <v>46.126445968166202</v>
      </c>
      <c r="P864">
        <v>0.67748555368677499</v>
      </c>
      <c r="Q864">
        <v>1.5</v>
      </c>
      <c r="R864">
        <v>0.13384177652575699</v>
      </c>
      <c r="S864" t="s">
        <v>2190</v>
      </c>
      <c r="T864" t="s">
        <v>2650</v>
      </c>
      <c r="U864" t="s">
        <v>2650</v>
      </c>
      <c r="V864" t="s">
        <v>2650</v>
      </c>
      <c r="W864" t="s">
        <v>3514</v>
      </c>
      <c r="X864">
        <v>3</v>
      </c>
      <c r="Y864" t="s">
        <v>4827</v>
      </c>
      <c r="Z864" t="s">
        <v>6144</v>
      </c>
      <c r="AA864">
        <v>1.397802907870429</v>
      </c>
      <c r="AB864" t="str">
        <f>HYPERLINK("Melting_Curves/meltCurve_Q14240_EIF4A2.pdf", "Melting_Curves/meltCurve_Q14240_EIF4A2.pdf")</f>
        <v>Melting_Curves/meltCurve_Q14240_EIF4A2.pdf</v>
      </c>
    </row>
    <row r="865" spans="1:28" x14ac:dyDescent="0.25">
      <c r="A865" t="s">
        <v>869</v>
      </c>
      <c r="B865">
        <v>1</v>
      </c>
      <c r="C865">
        <v>0.79935816938746995</v>
      </c>
      <c r="D865">
        <v>1.12738942374773</v>
      </c>
      <c r="E865">
        <v>1.2735221617599199</v>
      </c>
      <c r="F865">
        <v>1.0004650946467599</v>
      </c>
      <c r="G865">
        <v>0.94344449095390903</v>
      </c>
      <c r="H865">
        <v>0.92288730756709003</v>
      </c>
      <c r="I865">
        <v>1.16199246546672</v>
      </c>
      <c r="J865">
        <v>0.71787358727501005</v>
      </c>
      <c r="K865">
        <v>0.980093949118646</v>
      </c>
      <c r="L865">
        <v>3978.12134053511</v>
      </c>
      <c r="M865">
        <v>60.639306568404997</v>
      </c>
      <c r="O865">
        <v>65.531782006329294</v>
      </c>
      <c r="P865">
        <v>-3.0632409921568599E-2</v>
      </c>
      <c r="Q865">
        <v>0.86758452920305296</v>
      </c>
      <c r="R865">
        <v>0.111232257774678</v>
      </c>
      <c r="S865" t="s">
        <v>2191</v>
      </c>
      <c r="T865" t="s">
        <v>2650</v>
      </c>
      <c r="U865" t="s">
        <v>2650</v>
      </c>
      <c r="V865" t="s">
        <v>2650</v>
      </c>
      <c r="W865" t="s">
        <v>3515</v>
      </c>
      <c r="X865">
        <v>2</v>
      </c>
      <c r="Y865" t="s">
        <v>4828</v>
      </c>
      <c r="Z865" t="s">
        <v>6145</v>
      </c>
      <c r="AA865">
        <v>0.98072874481312222</v>
      </c>
      <c r="AB865" t="str">
        <f>HYPERLINK("Melting_Curves/meltCurve_Q14247_3_CTTN.pdf", "Melting_Curves/meltCurve_Q14247_3_CTTN.pdf")</f>
        <v>Melting_Curves/meltCurve_Q14247_3_CTTN.pdf</v>
      </c>
    </row>
    <row r="866" spans="1:28" x14ac:dyDescent="0.25">
      <c r="A866" t="s">
        <v>870</v>
      </c>
      <c r="B866">
        <v>1</v>
      </c>
      <c r="C866">
        <v>0.68410884918986303</v>
      </c>
      <c r="D866">
        <v>1.07762082814015</v>
      </c>
      <c r="E866">
        <v>1.39779808890735</v>
      </c>
      <c r="F866">
        <v>1.04133776485251</v>
      </c>
      <c r="G866">
        <v>1.18764714028528</v>
      </c>
      <c r="H866">
        <v>1.09389281262983</v>
      </c>
      <c r="I866">
        <v>1.4922448414347</v>
      </c>
      <c r="J866">
        <v>0.913100678576374</v>
      </c>
      <c r="K866">
        <v>1.3486359230023499</v>
      </c>
      <c r="L866">
        <v>11524.7870078081</v>
      </c>
      <c r="M866">
        <v>250</v>
      </c>
      <c r="O866">
        <v>46.096195705438902</v>
      </c>
      <c r="P866">
        <v>0.28563272410757301</v>
      </c>
      <c r="Q866">
        <v>1.2106653214143801</v>
      </c>
      <c r="R866">
        <v>0.31006929683497197</v>
      </c>
      <c r="S866" t="s">
        <v>2192</v>
      </c>
      <c r="T866" t="s">
        <v>2650</v>
      </c>
      <c r="U866" t="s">
        <v>2650</v>
      </c>
      <c r="V866" t="s">
        <v>2650</v>
      </c>
      <c r="W866" t="s">
        <v>3516</v>
      </c>
      <c r="X866">
        <v>2</v>
      </c>
      <c r="Y866" t="s">
        <v>4829</v>
      </c>
      <c r="Z866" t="s">
        <v>6146</v>
      </c>
      <c r="AA866">
        <v>1.167818978552235</v>
      </c>
      <c r="AB866" t="str">
        <f>HYPERLINK("Melting_Curves/meltCurve_Q14314_FGL2.pdf", "Melting_Curves/meltCurve_Q14314_FGL2.pdf")</f>
        <v>Melting_Curves/meltCurve_Q14314_FGL2.pdf</v>
      </c>
    </row>
    <row r="867" spans="1:28" x14ac:dyDescent="0.25">
      <c r="A867" t="s">
        <v>871</v>
      </c>
      <c r="B867">
        <v>1</v>
      </c>
      <c r="C867">
        <v>0.89762011674899</v>
      </c>
      <c r="D867">
        <v>1.222140690199</v>
      </c>
      <c r="E867">
        <v>1.4490674318507899</v>
      </c>
      <c r="F867">
        <v>1.13550987328463</v>
      </c>
      <c r="G867">
        <v>1.3158903479470401</v>
      </c>
      <c r="H867">
        <v>1.2855531339327799</v>
      </c>
      <c r="I867">
        <v>2.0296362819937102</v>
      </c>
      <c r="J867">
        <v>1.6475188101678999</v>
      </c>
      <c r="K867">
        <v>2.2267734127723</v>
      </c>
      <c r="L867">
        <v>790.33490586879304</v>
      </c>
      <c r="M867">
        <v>16.129916468107901</v>
      </c>
      <c r="O867">
        <v>48.263515499055103</v>
      </c>
      <c r="P867">
        <v>4.1778819628647101E-2</v>
      </c>
      <c r="Q867">
        <v>1.5</v>
      </c>
      <c r="R867">
        <v>0.38728946924885099</v>
      </c>
      <c r="S867" t="s">
        <v>2193</v>
      </c>
      <c r="T867" t="s">
        <v>2650</v>
      </c>
      <c r="U867" t="s">
        <v>2650</v>
      </c>
      <c r="V867" t="s">
        <v>2650</v>
      </c>
      <c r="W867" t="s">
        <v>3517</v>
      </c>
      <c r="X867">
        <v>7</v>
      </c>
      <c r="Y867" t="s">
        <v>4830</v>
      </c>
      <c r="Z867" t="s">
        <v>6147</v>
      </c>
      <c r="AA867">
        <v>1.339287641087975</v>
      </c>
      <c r="AB867" t="str">
        <f>HYPERLINK("Melting_Curves/meltCurve_Q14393_3_GAS6.pdf", "Melting_Curves/meltCurve_Q14393_3_GAS6.pdf")</f>
        <v>Melting_Curves/meltCurve_Q14393_3_GAS6.pdf</v>
      </c>
    </row>
    <row r="868" spans="1:28" x14ac:dyDescent="0.25">
      <c r="A868" t="s">
        <v>872</v>
      </c>
      <c r="B868">
        <v>1</v>
      </c>
      <c r="C868">
        <v>0.80167728950016803</v>
      </c>
      <c r="D868">
        <v>1.09050654142905</v>
      </c>
      <c r="E868">
        <v>1.30429386112043</v>
      </c>
      <c r="F868">
        <v>0.91405568601140597</v>
      </c>
      <c r="G868">
        <v>1.0664542099966501</v>
      </c>
      <c r="H868">
        <v>1.0206642066420699</v>
      </c>
      <c r="I868">
        <v>1.2358939953035899</v>
      </c>
      <c r="J868">
        <v>0.88919825561891996</v>
      </c>
      <c r="K868">
        <v>1.26933914793693</v>
      </c>
      <c r="L868">
        <v>11396.2109552231</v>
      </c>
      <c r="M868">
        <v>250</v>
      </c>
      <c r="O868">
        <v>45.581919644697301</v>
      </c>
      <c r="P868">
        <v>0.137096099805635</v>
      </c>
      <c r="Q868">
        <v>1.0999856698605801</v>
      </c>
      <c r="R868">
        <v>0.16726948892760399</v>
      </c>
      <c r="S868" t="s">
        <v>2194</v>
      </c>
      <c r="T868" t="s">
        <v>2650</v>
      </c>
      <c r="U868" t="s">
        <v>2650</v>
      </c>
      <c r="V868" t="s">
        <v>2650</v>
      </c>
      <c r="W868" t="s">
        <v>3518</v>
      </c>
      <c r="X868">
        <v>1</v>
      </c>
      <c r="Y868" t="s">
        <v>4831</v>
      </c>
      <c r="Z868" t="s">
        <v>6148</v>
      </c>
      <c r="AA868">
        <v>1.081364192587901</v>
      </c>
      <c r="AB868" t="str">
        <f>HYPERLINK("Melting_Curves/meltCurve_Q14507_EDDM3A.pdf", "Melting_Curves/meltCurve_Q14507_EDDM3A.pdf")</f>
        <v>Melting_Curves/meltCurve_Q14507_EDDM3A.pdf</v>
      </c>
    </row>
    <row r="869" spans="1:28" x14ac:dyDescent="0.25">
      <c r="A869" t="s">
        <v>873</v>
      </c>
      <c r="B869">
        <v>1</v>
      </c>
      <c r="C869">
        <v>0.71414400746878304</v>
      </c>
      <c r="D869">
        <v>1.0273077371921999</v>
      </c>
      <c r="E869">
        <v>1.1246353133387801</v>
      </c>
      <c r="F869">
        <v>0.87950752713268798</v>
      </c>
      <c r="G869">
        <v>0.93528999883300301</v>
      </c>
      <c r="H869">
        <v>0.81952386509510999</v>
      </c>
      <c r="I869">
        <v>0.87373089041895202</v>
      </c>
      <c r="J869">
        <v>0.64319057066168706</v>
      </c>
      <c r="K869">
        <v>0.83300268409382705</v>
      </c>
      <c r="L869">
        <v>1075.9373983364201</v>
      </c>
      <c r="M869">
        <v>18.267922933873798</v>
      </c>
      <c r="O869">
        <v>58.205459157243403</v>
      </c>
      <c r="P869">
        <v>-1.9591663031815299E-2</v>
      </c>
      <c r="Q869">
        <v>0.75031892485129303</v>
      </c>
      <c r="R869">
        <v>0.26901297312510197</v>
      </c>
      <c r="S869" t="s">
        <v>2195</v>
      </c>
      <c r="T869" t="s">
        <v>2650</v>
      </c>
      <c r="U869" t="s">
        <v>2650</v>
      </c>
      <c r="V869" t="s">
        <v>2650</v>
      </c>
      <c r="W869" t="s">
        <v>3519</v>
      </c>
      <c r="X869">
        <v>5</v>
      </c>
      <c r="Y869" t="s">
        <v>4832</v>
      </c>
      <c r="Z869" t="s">
        <v>6149</v>
      </c>
      <c r="AA869">
        <v>0.91027777433105994</v>
      </c>
      <c r="AB869" t="str">
        <f>HYPERLINK("Melting_Curves/meltCurve_Q14508_WFDC2.pdf", "Melting_Curves/meltCurve_Q14508_WFDC2.pdf")</f>
        <v>Melting_Curves/meltCurve_Q14508_WFDC2.pdf</v>
      </c>
    </row>
    <row r="870" spans="1:28" x14ac:dyDescent="0.25">
      <c r="A870" t="s">
        <v>874</v>
      </c>
      <c r="B870">
        <v>1</v>
      </c>
      <c r="C870">
        <v>0.78625370423477703</v>
      </c>
      <c r="D870">
        <v>1.14797820476054</v>
      </c>
      <c r="E870">
        <v>1.3075231813402199</v>
      </c>
      <c r="F870">
        <v>0.97782238791702503</v>
      </c>
      <c r="G870">
        <v>0.97399866169582305</v>
      </c>
      <c r="H870">
        <v>0.92094446037663702</v>
      </c>
      <c r="I870">
        <v>1.1472134595162999</v>
      </c>
      <c r="J870">
        <v>0.67329127234490005</v>
      </c>
      <c r="K870">
        <v>0.90861294331325904</v>
      </c>
      <c r="L870">
        <v>6132.7422951139197</v>
      </c>
      <c r="M870">
        <v>93.573057857436197</v>
      </c>
      <c r="O870">
        <v>65.509687286562595</v>
      </c>
      <c r="P870">
        <v>-7.3586824026176501E-2</v>
      </c>
      <c r="Q870">
        <v>0.79392998751873001</v>
      </c>
      <c r="R870">
        <v>0.239034793498935</v>
      </c>
      <c r="S870" t="s">
        <v>2196</v>
      </c>
      <c r="T870" t="s">
        <v>2650</v>
      </c>
      <c r="U870" t="s">
        <v>2650</v>
      </c>
      <c r="V870" t="s">
        <v>2650</v>
      </c>
      <c r="W870" t="s">
        <v>3520</v>
      </c>
      <c r="X870">
        <v>8</v>
      </c>
      <c r="Y870" t="s">
        <v>4833</v>
      </c>
      <c r="Z870" t="s">
        <v>6150</v>
      </c>
      <c r="AA870">
        <v>0.96951660014569407</v>
      </c>
      <c r="AB870" t="str">
        <f>HYPERLINK("Melting_Curves/meltCurve_Q14515_2_SPARCL1.pdf", "Melting_Curves/meltCurve_Q14515_2_SPARCL1.pdf")</f>
        <v>Melting_Curves/meltCurve_Q14515_2_SPARCL1.pdf</v>
      </c>
    </row>
    <row r="871" spans="1:28" x14ac:dyDescent="0.25">
      <c r="A871" t="s">
        <v>875</v>
      </c>
      <c r="B871">
        <v>1</v>
      </c>
      <c r="C871">
        <v>0.82708983103129197</v>
      </c>
      <c r="D871">
        <v>0.97014771909380704</v>
      </c>
      <c r="E871">
        <v>1.1805874490180599</v>
      </c>
      <c r="F871">
        <v>0.961647873324879</v>
      </c>
      <c r="G871">
        <v>1.1719162353908901</v>
      </c>
      <c r="H871">
        <v>0.92572917023682999</v>
      </c>
      <c r="I871">
        <v>1.08133118552284</v>
      </c>
      <c r="J871">
        <v>0.805805943037324</v>
      </c>
      <c r="K871">
        <v>0.95133152825856004</v>
      </c>
      <c r="L871">
        <v>15000</v>
      </c>
      <c r="M871">
        <v>229.07286695434499</v>
      </c>
      <c r="O871">
        <v>65.476356628593194</v>
      </c>
      <c r="P871">
        <v>-0.106146440451756</v>
      </c>
      <c r="Q871">
        <v>0.87863980106307105</v>
      </c>
      <c r="R871">
        <v>0.191238896632385</v>
      </c>
      <c r="S871" t="s">
        <v>2197</v>
      </c>
      <c r="T871" t="s">
        <v>2650</v>
      </c>
      <c r="U871" t="s">
        <v>2650</v>
      </c>
      <c r="V871" t="s">
        <v>2650</v>
      </c>
      <c r="W871" t="s">
        <v>3521</v>
      </c>
      <c r="X871">
        <v>2</v>
      </c>
      <c r="Y871" t="s">
        <v>4834</v>
      </c>
      <c r="Z871" t="s">
        <v>6151</v>
      </c>
      <c r="AA871">
        <v>0.98173712574158545</v>
      </c>
      <c r="AB871" t="str">
        <f>HYPERLINK("Melting_Curves/meltCurve_Q14574_2_DSC3.pdf", "Melting_Curves/meltCurve_Q14574_2_DSC3.pdf")</f>
        <v>Melting_Curves/meltCurve_Q14574_2_DSC3.pdf</v>
      </c>
    </row>
    <row r="872" spans="1:28" x14ac:dyDescent="0.25">
      <c r="A872" t="s">
        <v>876</v>
      </c>
      <c r="B872">
        <v>1</v>
      </c>
      <c r="C872">
        <v>0.93572664136524397</v>
      </c>
      <c r="D872">
        <v>1.32264477319082</v>
      </c>
      <c r="E872">
        <v>1.7699377791547299</v>
      </c>
      <c r="F872">
        <v>1.59334417680014</v>
      </c>
      <c r="G872">
        <v>1.7579325123279901</v>
      </c>
      <c r="H872">
        <v>1.60238039914285</v>
      </c>
      <c r="I872">
        <v>1.9784163374899999</v>
      </c>
      <c r="J872">
        <v>1.4126197299460399</v>
      </c>
      <c r="K872">
        <v>1.7532853122660299</v>
      </c>
      <c r="L872">
        <v>11472.473727328301</v>
      </c>
      <c r="M872">
        <v>250</v>
      </c>
      <c r="O872">
        <v>45.886969611053203</v>
      </c>
      <c r="P872">
        <v>0.68102138802585199</v>
      </c>
      <c r="Q872">
        <v>1.5</v>
      </c>
      <c r="R872">
        <v>0.56181451143363204</v>
      </c>
      <c r="S872" t="s">
        <v>2198</v>
      </c>
      <c r="T872" t="s">
        <v>2650</v>
      </c>
      <c r="U872" t="s">
        <v>2650</v>
      </c>
      <c r="V872" t="s">
        <v>2650</v>
      </c>
      <c r="W872" t="s">
        <v>3522</v>
      </c>
      <c r="X872">
        <v>9</v>
      </c>
      <c r="Y872" t="s">
        <v>4835</v>
      </c>
      <c r="Z872" t="s">
        <v>6152</v>
      </c>
      <c r="AA872">
        <v>1.401794816819099</v>
      </c>
      <c r="AB872" t="str">
        <f>HYPERLINK("Melting_Curves/meltCurve_Q14624_4_ITIH4.pdf", "Melting_Curves/meltCurve_Q14624_4_ITIH4.pdf")</f>
        <v>Melting_Curves/meltCurve_Q14624_4_ITIH4.pdf</v>
      </c>
    </row>
    <row r="873" spans="1:28" x14ac:dyDescent="0.25">
      <c r="A873" t="s">
        <v>877</v>
      </c>
      <c r="B873">
        <v>1</v>
      </c>
      <c r="C873">
        <v>0.86156654183843695</v>
      </c>
      <c r="D873">
        <v>1.3060232243446499</v>
      </c>
      <c r="E873">
        <v>1.40658337791484</v>
      </c>
      <c r="F873">
        <v>1.1716021021493499</v>
      </c>
      <c r="G873">
        <v>1.0597602039210701</v>
      </c>
      <c r="H873">
        <v>0.99073229065047097</v>
      </c>
      <c r="I873">
        <v>1.19913774113352</v>
      </c>
      <c r="J873">
        <v>0.67157063284765695</v>
      </c>
      <c r="K873">
        <v>0.987034647701168</v>
      </c>
      <c r="L873">
        <v>15000</v>
      </c>
      <c r="M873">
        <v>229.01232686346799</v>
      </c>
      <c r="O873">
        <v>65.493652787500807</v>
      </c>
      <c r="P873">
        <v>-0.14884052361019201</v>
      </c>
      <c r="Q873">
        <v>0.82973648291559599</v>
      </c>
      <c r="R873">
        <v>3.5726693011157898E-2</v>
      </c>
      <c r="S873" t="s">
        <v>2199</v>
      </c>
      <c r="T873" t="s">
        <v>2650</v>
      </c>
      <c r="U873" t="s">
        <v>2650</v>
      </c>
      <c r="V873" t="s">
        <v>2650</v>
      </c>
      <c r="W873" t="s">
        <v>3523</v>
      </c>
      <c r="X873">
        <v>1</v>
      </c>
      <c r="Y873" t="s">
        <v>4836</v>
      </c>
      <c r="Z873" t="s">
        <v>6153</v>
      </c>
      <c r="AA873">
        <v>0.97447617763727246</v>
      </c>
      <c r="AB873" t="str">
        <f>HYPERLINK("Melting_Curves/meltCurve_Q14689_3_DIP2A.pdf", "Melting_Curves/meltCurve_Q14689_3_DIP2A.pdf")</f>
        <v>Melting_Curves/meltCurve_Q14689_3_DIP2A.pdf</v>
      </c>
    </row>
    <row r="874" spans="1:28" x14ac:dyDescent="0.25">
      <c r="A874" t="s">
        <v>878</v>
      </c>
      <c r="B874">
        <v>1</v>
      </c>
      <c r="C874">
        <v>0.84385330463914099</v>
      </c>
      <c r="D874">
        <v>1.16948062032703</v>
      </c>
      <c r="E874">
        <v>1.59066403390056</v>
      </c>
      <c r="F874">
        <v>1.28413906329732</v>
      </c>
      <c r="G874">
        <v>1.5631087347192301</v>
      </c>
      <c r="H874">
        <v>1.45539458212233</v>
      </c>
      <c r="I874">
        <v>2.0499633927184799</v>
      </c>
      <c r="J874">
        <v>1.3615246378097801</v>
      </c>
      <c r="K874">
        <v>1.84662658354225</v>
      </c>
      <c r="L874">
        <v>11530.7246301861</v>
      </c>
      <c r="M874">
        <v>250</v>
      </c>
      <c r="O874">
        <v>46.119948583451098</v>
      </c>
      <c r="P874">
        <v>0.67758100551037403</v>
      </c>
      <c r="Q874">
        <v>1.5</v>
      </c>
      <c r="R874">
        <v>0.56898154221899</v>
      </c>
      <c r="S874" t="s">
        <v>2200</v>
      </c>
      <c r="T874" t="s">
        <v>2650</v>
      </c>
      <c r="U874" t="s">
        <v>2650</v>
      </c>
      <c r="V874" t="s">
        <v>2650</v>
      </c>
      <c r="W874" t="s">
        <v>3524</v>
      </c>
      <c r="X874">
        <v>6</v>
      </c>
      <c r="Y874" t="s">
        <v>4837</v>
      </c>
      <c r="Z874" t="s">
        <v>6154</v>
      </c>
      <c r="AA874">
        <v>1.39791121883639</v>
      </c>
      <c r="AB874" t="str">
        <f>HYPERLINK("Melting_Curves/meltCurve_Q14697_GANAB.pdf", "Melting_Curves/meltCurve_Q14697_GANAB.pdf")</f>
        <v>Melting_Curves/meltCurve_Q14697_GANAB.pdf</v>
      </c>
    </row>
    <row r="875" spans="1:28" x14ac:dyDescent="0.25">
      <c r="A875" t="s">
        <v>879</v>
      </c>
      <c r="B875">
        <v>1</v>
      </c>
      <c r="C875">
        <v>0.70075142314990502</v>
      </c>
      <c r="D875">
        <v>1.10345351043643</v>
      </c>
      <c r="E875">
        <v>1.2623149905123301</v>
      </c>
      <c r="F875">
        <v>0.907020872865275</v>
      </c>
      <c r="G875">
        <v>0.93776091081593904</v>
      </c>
      <c r="H875">
        <v>0.90261859582542703</v>
      </c>
      <c r="I875">
        <v>1.0792409867172701</v>
      </c>
      <c r="J875">
        <v>0.61663757115749496</v>
      </c>
      <c r="K875">
        <v>0.87453510436432602</v>
      </c>
      <c r="L875">
        <v>8059.4017026022602</v>
      </c>
      <c r="M875">
        <v>123.305198755032</v>
      </c>
      <c r="O875">
        <v>65.344222314602106</v>
      </c>
      <c r="P875">
        <v>-0.1197546173685</v>
      </c>
      <c r="Q875">
        <v>0.74614948152112504</v>
      </c>
      <c r="R875">
        <v>0.264918357616656</v>
      </c>
      <c r="S875" t="s">
        <v>2201</v>
      </c>
      <c r="T875" t="s">
        <v>2650</v>
      </c>
      <c r="U875" t="s">
        <v>2650</v>
      </c>
      <c r="V875" t="s">
        <v>2650</v>
      </c>
      <c r="W875" t="s">
        <v>3525</v>
      </c>
      <c r="X875">
        <v>6</v>
      </c>
      <c r="Y875" t="s">
        <v>4838</v>
      </c>
      <c r="Z875" t="s">
        <v>6155</v>
      </c>
      <c r="AA875">
        <v>0.96086802189512599</v>
      </c>
      <c r="AB875" t="str">
        <f>HYPERLINK("Melting_Curves/meltCurve_Q14766_2_LTBP1.pdf", "Melting_Curves/meltCurve_Q14766_2_LTBP1.pdf")</f>
        <v>Melting_Curves/meltCurve_Q14766_2_LTBP1.pdf</v>
      </c>
    </row>
    <row r="876" spans="1:28" x14ac:dyDescent="0.25">
      <c r="A876" t="s">
        <v>880</v>
      </c>
      <c r="B876">
        <v>1</v>
      </c>
      <c r="C876">
        <v>0.76442370447722197</v>
      </c>
      <c r="D876">
        <v>1.1550058739068001</v>
      </c>
      <c r="E876">
        <v>1.3132423965539699</v>
      </c>
      <c r="F876">
        <v>0.99727515990079596</v>
      </c>
      <c r="G876">
        <v>0.96544184832267299</v>
      </c>
      <c r="H876">
        <v>0.99905364834877997</v>
      </c>
      <c r="I876">
        <v>1.1313307662185099</v>
      </c>
      <c r="J876">
        <v>0.67589087586477004</v>
      </c>
      <c r="K876">
        <v>0.94276204150894105</v>
      </c>
      <c r="L876">
        <v>4215.5780904506501</v>
      </c>
      <c r="M876">
        <v>64.4111646483166</v>
      </c>
      <c r="O876">
        <v>65.384941603442201</v>
      </c>
      <c r="P876">
        <v>-4.3272676861545102E-2</v>
      </c>
      <c r="Q876">
        <v>0.82429253806605596</v>
      </c>
      <c r="R876">
        <v>0.171443243996483</v>
      </c>
      <c r="S876" t="s">
        <v>2202</v>
      </c>
      <c r="T876" t="s">
        <v>2650</v>
      </c>
      <c r="U876" t="s">
        <v>2650</v>
      </c>
      <c r="V876" t="s">
        <v>2650</v>
      </c>
      <c r="W876" t="s">
        <v>3526</v>
      </c>
      <c r="X876">
        <v>3</v>
      </c>
      <c r="Y876" t="s">
        <v>4839</v>
      </c>
      <c r="Z876" t="s">
        <v>6156</v>
      </c>
      <c r="AA876">
        <v>0.97353787833511285</v>
      </c>
      <c r="AB876" t="str">
        <f>HYPERLINK("Melting_Curves/meltCurve_Q14847_LASP1.pdf", "Melting_Curves/meltCurve_Q14847_LASP1.pdf")</f>
        <v>Melting_Curves/meltCurve_Q14847_LASP1.pdf</v>
      </c>
    </row>
    <row r="877" spans="1:28" x14ac:dyDescent="0.25">
      <c r="A877" t="s">
        <v>881</v>
      </c>
      <c r="B877">
        <v>1</v>
      </c>
      <c r="C877">
        <v>0.82139298976541997</v>
      </c>
      <c r="D877">
        <v>1.15913413640069</v>
      </c>
      <c r="E877">
        <v>1.51775201521601</v>
      </c>
      <c r="F877">
        <v>1.3079884068472101</v>
      </c>
      <c r="G877">
        <v>1.97065483198986</v>
      </c>
      <c r="H877">
        <v>2.8661353138302701</v>
      </c>
      <c r="I877">
        <v>4.0096911511638398</v>
      </c>
      <c r="J877">
        <v>2.6209582465356398</v>
      </c>
      <c r="K877">
        <v>3.5959605108232999</v>
      </c>
      <c r="L877">
        <v>11325.9813274597</v>
      </c>
      <c r="M877">
        <v>245.45522905204101</v>
      </c>
      <c r="O877">
        <v>46.139695227400402</v>
      </c>
      <c r="P877">
        <v>0.66497846454145104</v>
      </c>
      <c r="Q877">
        <v>1.5</v>
      </c>
      <c r="R877">
        <v>-0.23139264306469201</v>
      </c>
      <c r="S877" t="s">
        <v>2203</v>
      </c>
      <c r="T877" t="s">
        <v>2650</v>
      </c>
      <c r="U877" t="s">
        <v>2650</v>
      </c>
      <c r="V877" t="s">
        <v>2650</v>
      </c>
      <c r="W877" t="s">
        <v>3527</v>
      </c>
      <c r="X877">
        <v>3</v>
      </c>
      <c r="Y877" t="s">
        <v>4840</v>
      </c>
      <c r="Z877" t="s">
        <v>6157</v>
      </c>
      <c r="AA877">
        <v>1.3975786901162659</v>
      </c>
      <c r="AB877" t="str">
        <f>HYPERLINK("Melting_Curves/meltCurve_Q14914_2_PTGR1.pdf", "Melting_Curves/meltCurve_Q14914_2_PTGR1.pdf")</f>
        <v>Melting_Curves/meltCurve_Q14914_2_PTGR1.pdf</v>
      </c>
    </row>
    <row r="878" spans="1:28" x14ac:dyDescent="0.25">
      <c r="A878" t="s">
        <v>882</v>
      </c>
      <c r="B878">
        <v>1</v>
      </c>
      <c r="C878">
        <v>0.77884055627425597</v>
      </c>
      <c r="D878">
        <v>1.16817593790427</v>
      </c>
      <c r="E878">
        <v>1.5085705045278099</v>
      </c>
      <c r="F878">
        <v>1.17804010349288</v>
      </c>
      <c r="G878">
        <v>1.36998706338939</v>
      </c>
      <c r="H878">
        <v>1.2260672703751601</v>
      </c>
      <c r="I878">
        <v>1.71474773609314</v>
      </c>
      <c r="J878">
        <v>0.98334411384217302</v>
      </c>
      <c r="K878">
        <v>1.3827619663648101</v>
      </c>
      <c r="L878">
        <v>11500.352498902101</v>
      </c>
      <c r="M878">
        <v>250</v>
      </c>
      <c r="O878">
        <v>45.998466208513499</v>
      </c>
      <c r="P878">
        <v>0.45877282123584201</v>
      </c>
      <c r="Q878">
        <v>1.3376455374587599</v>
      </c>
      <c r="R878">
        <v>0.430511821909766</v>
      </c>
      <c r="S878" t="s">
        <v>2204</v>
      </c>
      <c r="T878" t="s">
        <v>2650</v>
      </c>
      <c r="U878" t="s">
        <v>2650</v>
      </c>
      <c r="V878" t="s">
        <v>2650</v>
      </c>
      <c r="W878" t="s">
        <v>3528</v>
      </c>
      <c r="X878">
        <v>2</v>
      </c>
      <c r="Y878" t="s">
        <v>4841</v>
      </c>
      <c r="Z878" t="s">
        <v>6158</v>
      </c>
      <c r="AA878">
        <v>1.2700733019581509</v>
      </c>
      <c r="AB878" t="str">
        <f>HYPERLINK("Melting_Curves/meltCurve_Q14974_KPNB1.pdf", "Melting_Curves/meltCurve_Q14974_KPNB1.pdf")</f>
        <v>Melting_Curves/meltCurve_Q14974_KPNB1.pdf</v>
      </c>
    </row>
    <row r="879" spans="1:28" x14ac:dyDescent="0.25">
      <c r="A879" t="s">
        <v>883</v>
      </c>
      <c r="B879">
        <v>1</v>
      </c>
      <c r="C879">
        <v>0.78110776959682904</v>
      </c>
      <c r="D879">
        <v>1.1288211368062</v>
      </c>
      <c r="E879">
        <v>1.37704955811354</v>
      </c>
      <c r="F879">
        <v>1.6038116307741901</v>
      </c>
      <c r="G879">
        <v>2.1464044154078401</v>
      </c>
      <c r="H879">
        <v>2.1135653957389899</v>
      </c>
      <c r="I879">
        <v>2.7175729083848998</v>
      </c>
      <c r="J879">
        <v>1.9481028264601801</v>
      </c>
      <c r="K879">
        <v>2.1483632341249299</v>
      </c>
      <c r="L879">
        <v>1998.88558517656</v>
      </c>
      <c r="M879">
        <v>41.886499994852201</v>
      </c>
      <c r="O879">
        <v>47.613089318015298</v>
      </c>
      <c r="P879">
        <v>0.10996601452002799</v>
      </c>
      <c r="Q879">
        <v>1.5</v>
      </c>
      <c r="R879">
        <v>0.138305576163337</v>
      </c>
      <c r="S879" t="s">
        <v>2205</v>
      </c>
      <c r="T879" t="s">
        <v>2650</v>
      </c>
      <c r="U879" t="s">
        <v>2650</v>
      </c>
      <c r="V879" t="s">
        <v>2650</v>
      </c>
      <c r="W879" t="s">
        <v>3529</v>
      </c>
      <c r="X879">
        <v>2</v>
      </c>
      <c r="Y879" t="s">
        <v>4842</v>
      </c>
      <c r="Z879" t="s">
        <v>6159</v>
      </c>
      <c r="AA879">
        <v>1.369801502718897</v>
      </c>
      <c r="AB879" t="str">
        <f>HYPERLINK("Melting_Curves/meltCurve_Q15008_PSMD6.pdf", "Melting_Curves/meltCurve_Q15008_PSMD6.pdf")</f>
        <v>Melting_Curves/meltCurve_Q15008_PSMD6.pdf</v>
      </c>
    </row>
    <row r="880" spans="1:28" x14ac:dyDescent="0.25">
      <c r="A880" t="s">
        <v>884</v>
      </c>
      <c r="B880">
        <v>1</v>
      </c>
      <c r="C880">
        <v>0.79284369114877595</v>
      </c>
      <c r="D880">
        <v>1.0798493408662899</v>
      </c>
      <c r="E880">
        <v>1.20574387947269</v>
      </c>
      <c r="F880">
        <v>0.86334274952918999</v>
      </c>
      <c r="G880">
        <v>1.0903013182674199</v>
      </c>
      <c r="H880">
        <v>0.99745762711864405</v>
      </c>
      <c r="I880">
        <v>0.93775894538606397</v>
      </c>
      <c r="J880">
        <v>0.73251412429378504</v>
      </c>
      <c r="K880">
        <v>0.86953860640301295</v>
      </c>
      <c r="L880">
        <v>15000</v>
      </c>
      <c r="M880">
        <v>233.58843517232501</v>
      </c>
      <c r="O880">
        <v>64.2107964377836</v>
      </c>
      <c r="P880">
        <v>-0.18095926701163301</v>
      </c>
      <c r="Q880">
        <v>0.80102543290235395</v>
      </c>
      <c r="R880">
        <v>0.335359265098087</v>
      </c>
      <c r="S880" t="s">
        <v>2206</v>
      </c>
      <c r="T880" t="s">
        <v>2650</v>
      </c>
      <c r="U880" t="s">
        <v>2650</v>
      </c>
      <c r="V880" t="s">
        <v>2650</v>
      </c>
      <c r="W880" t="s">
        <v>3530</v>
      </c>
      <c r="X880">
        <v>2</v>
      </c>
      <c r="Y880" t="s">
        <v>4843</v>
      </c>
      <c r="Z880" t="s">
        <v>6160</v>
      </c>
      <c r="AA880">
        <v>0.96166012582162463</v>
      </c>
      <c r="AB880" t="str">
        <f>HYPERLINK("Melting_Curves/meltCurve_Q15056_2_EIF4H.pdf", "Melting_Curves/meltCurve_Q15056_2_EIF4H.pdf")</f>
        <v>Melting_Curves/meltCurve_Q15056_2_EIF4H.pdf</v>
      </c>
    </row>
    <row r="881" spans="1:28" x14ac:dyDescent="0.25">
      <c r="A881" t="s">
        <v>885</v>
      </c>
      <c r="B881">
        <v>1</v>
      </c>
      <c r="C881">
        <v>0.80968113714944301</v>
      </c>
      <c r="D881">
        <v>1.0805993084901999</v>
      </c>
      <c r="E881">
        <v>1.2635969485758201</v>
      </c>
      <c r="F881">
        <v>0.920860545524395</v>
      </c>
      <c r="G881">
        <v>1.0505570495582</v>
      </c>
      <c r="H881">
        <v>0.91336370122386301</v>
      </c>
      <c r="I881">
        <v>0.90004939355688496</v>
      </c>
      <c r="J881">
        <v>0.61920860545524403</v>
      </c>
      <c r="K881">
        <v>0.79495088085176402</v>
      </c>
      <c r="L881">
        <v>15000</v>
      </c>
      <c r="M881">
        <v>233.71748100180099</v>
      </c>
      <c r="O881">
        <v>64.175352256908397</v>
      </c>
      <c r="P881">
        <v>-0.26669508981191198</v>
      </c>
      <c r="Q881">
        <v>0.70707794253483802</v>
      </c>
      <c r="R881">
        <v>0.49249730611533599</v>
      </c>
      <c r="S881" t="s">
        <v>2207</v>
      </c>
      <c r="T881" t="s">
        <v>2650</v>
      </c>
      <c r="U881" t="s">
        <v>2650</v>
      </c>
      <c r="V881" t="s">
        <v>2650</v>
      </c>
      <c r="W881" t="s">
        <v>3531</v>
      </c>
      <c r="X881">
        <v>4</v>
      </c>
      <c r="Y881" t="s">
        <v>4844</v>
      </c>
      <c r="Z881" t="s">
        <v>6161</v>
      </c>
      <c r="AA881">
        <v>0.94321137679461198</v>
      </c>
      <c r="AB881" t="str">
        <f>HYPERLINK("Melting_Curves/meltCurve_Q15075_EEA1.pdf", "Melting_Curves/meltCurve_Q15075_EEA1.pdf")</f>
        <v>Melting_Curves/meltCurve_Q15075_EEA1.pdf</v>
      </c>
    </row>
    <row r="882" spans="1:28" x14ac:dyDescent="0.25">
      <c r="A882" t="s">
        <v>886</v>
      </c>
      <c r="B882">
        <v>1</v>
      </c>
      <c r="C882">
        <v>0.78381562476989897</v>
      </c>
      <c r="D882">
        <v>1.34091745821368</v>
      </c>
      <c r="E882">
        <v>1.8816729254105</v>
      </c>
      <c r="F882">
        <v>1.5561446137986901</v>
      </c>
      <c r="G882">
        <v>1.8538399234224301</v>
      </c>
      <c r="H882">
        <v>1.88756350784184</v>
      </c>
      <c r="I882">
        <v>2.21073558648111</v>
      </c>
      <c r="J882">
        <v>1.4107944923054301</v>
      </c>
      <c r="K882">
        <v>1.962594801561</v>
      </c>
      <c r="L882">
        <v>11464.938023123999</v>
      </c>
      <c r="M882">
        <v>250</v>
      </c>
      <c r="O882">
        <v>45.856817541431901</v>
      </c>
      <c r="P882">
        <v>0.68146901218082401</v>
      </c>
      <c r="Q882">
        <v>1.5</v>
      </c>
      <c r="R882">
        <v>0.35611689845460598</v>
      </c>
      <c r="S882" t="s">
        <v>2208</v>
      </c>
      <c r="T882" t="s">
        <v>2650</v>
      </c>
      <c r="U882" t="s">
        <v>2650</v>
      </c>
      <c r="V882" t="s">
        <v>2650</v>
      </c>
      <c r="W882" t="s">
        <v>3532</v>
      </c>
      <c r="X882">
        <v>8</v>
      </c>
      <c r="Y882" t="s">
        <v>4845</v>
      </c>
      <c r="Z882" t="s">
        <v>6162</v>
      </c>
      <c r="AA882">
        <v>1.4022972235494739</v>
      </c>
      <c r="AB882" t="str">
        <f>HYPERLINK("Melting_Curves/meltCurve_Q15084_3_PDIA6.pdf", "Melting_Curves/meltCurve_Q15084_3_PDIA6.pdf")</f>
        <v>Melting_Curves/meltCurve_Q15084_3_PDIA6.pdf</v>
      </c>
    </row>
    <row r="883" spans="1:28" x14ac:dyDescent="0.25">
      <c r="A883" t="s">
        <v>887</v>
      </c>
      <c r="B883">
        <v>1</v>
      </c>
      <c r="C883">
        <v>0.85193133047210301</v>
      </c>
      <c r="D883">
        <v>1.1321173104434901</v>
      </c>
      <c r="E883">
        <v>1.4165951359084401</v>
      </c>
      <c r="F883">
        <v>1.12975679542203</v>
      </c>
      <c r="G883">
        <v>1.2922746781115899</v>
      </c>
      <c r="H883">
        <v>1.2155937052932799</v>
      </c>
      <c r="I883">
        <v>1.4640915593705299</v>
      </c>
      <c r="J883">
        <v>1.2846208869814</v>
      </c>
      <c r="K883">
        <v>1.48891273247496</v>
      </c>
      <c r="L883">
        <v>11517.9763999895</v>
      </c>
      <c r="M883">
        <v>250</v>
      </c>
      <c r="O883">
        <v>46.068966973423102</v>
      </c>
      <c r="P883">
        <v>0.444179929993815</v>
      </c>
      <c r="Q883">
        <v>1.3274064995211701</v>
      </c>
      <c r="R883">
        <v>0.6590122225974</v>
      </c>
      <c r="S883" t="s">
        <v>2209</v>
      </c>
      <c r="T883" t="s">
        <v>2650</v>
      </c>
      <c r="U883" t="s">
        <v>2650</v>
      </c>
      <c r="V883" t="s">
        <v>2650</v>
      </c>
      <c r="W883" t="s">
        <v>3533</v>
      </c>
      <c r="X883">
        <v>2</v>
      </c>
      <c r="Y883" t="s">
        <v>4846</v>
      </c>
      <c r="Z883" t="s">
        <v>6163</v>
      </c>
      <c r="AA883">
        <v>1.2611139816489341</v>
      </c>
      <c r="AB883" t="str">
        <f>HYPERLINK("Melting_Curves/meltCurve_Q15113_PCOLCE.pdf", "Melting_Curves/meltCurve_Q15113_PCOLCE.pdf")</f>
        <v>Melting_Curves/meltCurve_Q15113_PCOLCE.pdf</v>
      </c>
    </row>
    <row r="884" spans="1:28" x14ac:dyDescent="0.25">
      <c r="A884" t="s">
        <v>888</v>
      </c>
      <c r="B884">
        <v>1</v>
      </c>
      <c r="C884">
        <v>0.75605294604283502</v>
      </c>
      <c r="D884">
        <v>1.0871403621656399</v>
      </c>
      <c r="E884">
        <v>1.27484143763214</v>
      </c>
      <c r="F884">
        <v>0.94622667524588699</v>
      </c>
      <c r="G884">
        <v>1.0182002022244701</v>
      </c>
      <c r="H884">
        <v>0.92821031344792704</v>
      </c>
      <c r="I884">
        <v>1.22198731501057</v>
      </c>
      <c r="J884">
        <v>0.69531206912400001</v>
      </c>
      <c r="K884">
        <v>0.97122897325121804</v>
      </c>
      <c r="L884">
        <v>1650.02967381282</v>
      </c>
      <c r="M884">
        <v>24.5722494804956</v>
      </c>
      <c r="O884">
        <v>66.710122215322599</v>
      </c>
      <c r="P884">
        <v>-1.35170802441292E-2</v>
      </c>
      <c r="Q884">
        <v>0.85321439773706098</v>
      </c>
      <c r="R884">
        <v>5.9277831503307898E-2</v>
      </c>
      <c r="S884" t="s">
        <v>2210</v>
      </c>
      <c r="T884" t="s">
        <v>2650</v>
      </c>
      <c r="U884" t="s">
        <v>2650</v>
      </c>
      <c r="V884" t="s">
        <v>2650</v>
      </c>
      <c r="W884" t="s">
        <v>3534</v>
      </c>
      <c r="X884">
        <v>1</v>
      </c>
      <c r="Y884" t="s">
        <v>4847</v>
      </c>
      <c r="Z884" t="s">
        <v>6164</v>
      </c>
      <c r="AA884">
        <v>0.98285429907655197</v>
      </c>
      <c r="AB884" t="str">
        <f>HYPERLINK("Melting_Curves/meltCurve_Q15121_PEA15.pdf", "Melting_Curves/meltCurve_Q15121_PEA15.pdf")</f>
        <v>Melting_Curves/meltCurve_Q15121_PEA15.pdf</v>
      </c>
    </row>
    <row r="885" spans="1:28" x14ac:dyDescent="0.25">
      <c r="A885" t="s">
        <v>889</v>
      </c>
      <c r="B885">
        <v>1</v>
      </c>
      <c r="C885">
        <v>0.95459844162218499</v>
      </c>
      <c r="D885">
        <v>1.38167985765998</v>
      </c>
      <c r="E885">
        <v>1.3587336646420001</v>
      </c>
      <c r="F885">
        <v>1.2481747346462999</v>
      </c>
      <c r="G885">
        <v>1.69556414503957</v>
      </c>
      <c r="H885">
        <v>1.60574268360022</v>
      </c>
      <c r="I885">
        <v>1.81004969630039</v>
      </c>
      <c r="J885">
        <v>1.4556107736671</v>
      </c>
      <c r="K885">
        <v>1.7137247683907</v>
      </c>
      <c r="L885">
        <v>1037.8652473031</v>
      </c>
      <c r="M885">
        <v>22.549334874486298</v>
      </c>
      <c r="O885">
        <v>45.669018886072102</v>
      </c>
      <c r="P885">
        <v>6.17206946587531E-2</v>
      </c>
      <c r="Q885">
        <v>1.5</v>
      </c>
      <c r="R885">
        <v>0.63053960910822704</v>
      </c>
      <c r="S885" t="s">
        <v>2211</v>
      </c>
      <c r="T885" t="s">
        <v>2650</v>
      </c>
      <c r="U885" t="s">
        <v>2650</v>
      </c>
      <c r="V885" t="s">
        <v>2650</v>
      </c>
      <c r="W885" t="s">
        <v>3535</v>
      </c>
      <c r="X885">
        <v>1</v>
      </c>
      <c r="Y885" t="s">
        <v>4848</v>
      </c>
      <c r="Z885" t="s">
        <v>6165</v>
      </c>
      <c r="AA885">
        <v>1.393706277471944</v>
      </c>
      <c r="AB885" t="str">
        <f>HYPERLINK("Melting_Curves/meltCurve_Q15149_7_PLEC.pdf", "Melting_Curves/meltCurve_Q15149_7_PLEC.pdf")</f>
        <v>Melting_Curves/meltCurve_Q15149_7_PLEC.pdf</v>
      </c>
    </row>
    <row r="886" spans="1:28" x14ac:dyDescent="0.25">
      <c r="A886" t="s">
        <v>890</v>
      </c>
      <c r="B886">
        <v>1</v>
      </c>
      <c r="C886">
        <v>0.94697766865427302</v>
      </c>
      <c r="D886">
        <v>1.5622003975213401</v>
      </c>
      <c r="E886">
        <v>1.8464281538641401</v>
      </c>
      <c r="F886">
        <v>1.50096457383374</v>
      </c>
      <c r="G886">
        <v>1.4021103706301901</v>
      </c>
      <c r="H886">
        <v>1.6575762890214001</v>
      </c>
      <c r="I886">
        <v>2.0901438091897599</v>
      </c>
      <c r="J886">
        <v>1.2478954752718301</v>
      </c>
      <c r="K886">
        <v>1.8623290073658401</v>
      </c>
      <c r="L886">
        <v>11096.979745803401</v>
      </c>
      <c r="M886">
        <v>250</v>
      </c>
      <c r="O886">
        <v>44.385078538216398</v>
      </c>
      <c r="P886">
        <v>0.70406544558112505</v>
      </c>
      <c r="Q886">
        <v>1.5</v>
      </c>
      <c r="R886">
        <v>0.43924941081538099</v>
      </c>
      <c r="S886" t="s">
        <v>2212</v>
      </c>
      <c r="T886" t="s">
        <v>2650</v>
      </c>
      <c r="U886" t="s">
        <v>2650</v>
      </c>
      <c r="V886" t="s">
        <v>2650</v>
      </c>
      <c r="W886" t="s">
        <v>3536</v>
      </c>
      <c r="X886">
        <v>2</v>
      </c>
      <c r="Y886" t="s">
        <v>4849</v>
      </c>
      <c r="Z886" t="s">
        <v>6166</v>
      </c>
      <c r="AA886">
        <v>1.426829066892944</v>
      </c>
      <c r="AB886" t="str">
        <f>HYPERLINK("Melting_Curves/meltCurve_Q15166_PON3.pdf", "Melting_Curves/meltCurve_Q15166_PON3.pdf")</f>
        <v>Melting_Curves/meltCurve_Q15166_PON3.pdf</v>
      </c>
    </row>
    <row r="887" spans="1:28" x14ac:dyDescent="0.25">
      <c r="A887" t="s">
        <v>891</v>
      </c>
      <c r="B887">
        <v>1</v>
      </c>
      <c r="C887">
        <v>0.92897447843868097</v>
      </c>
      <c r="D887">
        <v>1.1064865144691201</v>
      </c>
      <c r="E887">
        <v>1.32199616917741</v>
      </c>
      <c r="F887">
        <v>1.1158564994564399</v>
      </c>
      <c r="G887">
        <v>1.2436196096702401</v>
      </c>
      <c r="H887">
        <v>1.0378940829321299</v>
      </c>
      <c r="I887">
        <v>1.30734586115857</v>
      </c>
      <c r="J887">
        <v>0.88326344670497503</v>
      </c>
      <c r="K887">
        <v>1.06729823471554</v>
      </c>
      <c r="L887">
        <v>11446.2831272614</v>
      </c>
      <c r="M887">
        <v>250</v>
      </c>
      <c r="O887">
        <v>45.782202411827598</v>
      </c>
      <c r="P887">
        <v>0.190590654929816</v>
      </c>
      <c r="Q887">
        <v>1.1396105593699899</v>
      </c>
      <c r="R887">
        <v>0.22127952745021301</v>
      </c>
      <c r="S887" t="s">
        <v>2213</v>
      </c>
      <c r="T887" t="s">
        <v>2650</v>
      </c>
      <c r="U887" t="s">
        <v>2650</v>
      </c>
      <c r="V887" t="s">
        <v>2650</v>
      </c>
      <c r="W887" t="s">
        <v>3537</v>
      </c>
      <c r="X887">
        <v>2</v>
      </c>
      <c r="Y887" t="s">
        <v>4850</v>
      </c>
      <c r="Z887" t="s">
        <v>6167</v>
      </c>
      <c r="AA887">
        <v>1.1126771551678549</v>
      </c>
      <c r="AB887" t="str">
        <f>HYPERLINK("Melting_Curves/meltCurve_Q15185_3_PTGES3.pdf", "Melting_Curves/meltCurve_Q15185_3_PTGES3.pdf")</f>
        <v>Melting_Curves/meltCurve_Q15185_3_PTGES3.pdf</v>
      </c>
    </row>
    <row r="888" spans="1:28" x14ac:dyDescent="0.25">
      <c r="A888" t="s">
        <v>892</v>
      </c>
      <c r="B888">
        <v>1</v>
      </c>
      <c r="C888">
        <v>0.89791510142749797</v>
      </c>
      <c r="D888">
        <v>1.23013711495116</v>
      </c>
      <c r="E888">
        <v>1.3716190833959401</v>
      </c>
      <c r="F888">
        <v>1.10757888805409</v>
      </c>
      <c r="G888">
        <v>1.16303531179564</v>
      </c>
      <c r="H888">
        <v>1.05963561232156</v>
      </c>
      <c r="I888">
        <v>1.24549211119459</v>
      </c>
      <c r="J888">
        <v>0.77206987227648405</v>
      </c>
      <c r="K888">
        <v>1.12171299774606</v>
      </c>
      <c r="L888">
        <v>11101.8435345333</v>
      </c>
      <c r="M888">
        <v>250</v>
      </c>
      <c r="O888">
        <v>44.4045424345234</v>
      </c>
      <c r="P888">
        <v>0.188478774741484</v>
      </c>
      <c r="Q888">
        <v>1.1339089895876799</v>
      </c>
      <c r="R888">
        <v>0.17920270282016401</v>
      </c>
      <c r="S888" t="s">
        <v>2214</v>
      </c>
      <c r="T888" t="s">
        <v>2650</v>
      </c>
      <c r="U888" t="s">
        <v>2650</v>
      </c>
      <c r="V888" t="s">
        <v>2650</v>
      </c>
      <c r="W888" t="s">
        <v>3538</v>
      </c>
      <c r="X888">
        <v>2</v>
      </c>
      <c r="Y888" t="s">
        <v>4851</v>
      </c>
      <c r="Z888" t="s">
        <v>6168</v>
      </c>
      <c r="AA888">
        <v>1.1142256529051999</v>
      </c>
      <c r="AB888" t="str">
        <f>HYPERLINK("Melting_Curves/meltCurve_Q15223_3_NECTIN1.pdf", "Melting_Curves/meltCurve_Q15223_3_NECTIN1.pdf")</f>
        <v>Melting_Curves/meltCurve_Q15223_3_NECTIN1.pdf</v>
      </c>
    </row>
    <row r="889" spans="1:28" x14ac:dyDescent="0.25">
      <c r="A889" t="s">
        <v>893</v>
      </c>
      <c r="B889">
        <v>1</v>
      </c>
      <c r="C889">
        <v>0.73418819899730003</v>
      </c>
      <c r="D889">
        <v>1.05187042036251</v>
      </c>
      <c r="E889">
        <v>1.3260701889702999</v>
      </c>
      <c r="F889">
        <v>1.39529502506749</v>
      </c>
      <c r="G889">
        <v>1.5191862707288899</v>
      </c>
      <c r="H889">
        <v>1.51937909757038</v>
      </c>
      <c r="I889">
        <v>1.8892209795603501</v>
      </c>
      <c r="J889">
        <v>1.1127072888546099</v>
      </c>
      <c r="K889">
        <v>1.50925568839182</v>
      </c>
      <c r="L889">
        <v>1651.76970221531</v>
      </c>
      <c r="M889">
        <v>33.4716902908145</v>
      </c>
      <c r="O889">
        <v>49.173112548594901</v>
      </c>
      <c r="P889">
        <v>8.5086718604157605E-2</v>
      </c>
      <c r="Q889">
        <v>1.5</v>
      </c>
      <c r="R889">
        <v>0.62199483525503496</v>
      </c>
      <c r="S889" t="s">
        <v>2215</v>
      </c>
      <c r="T889" t="s">
        <v>2650</v>
      </c>
      <c r="U889" t="s">
        <v>2650</v>
      </c>
      <c r="V889" t="s">
        <v>2650</v>
      </c>
      <c r="W889" t="s">
        <v>3539</v>
      </c>
      <c r="X889">
        <v>1</v>
      </c>
      <c r="Y889" t="s">
        <v>4852</v>
      </c>
      <c r="Z889" t="s">
        <v>6169</v>
      </c>
      <c r="AA889">
        <v>1.3417464616058861</v>
      </c>
      <c r="AB889" t="str">
        <f>HYPERLINK("Melting_Curves/meltCurve_Q15257_4_PTPA.pdf", "Melting_Curves/meltCurve_Q15257_4_PTPA.pdf")</f>
        <v>Melting_Curves/meltCurve_Q15257_4_PTPA.pdf</v>
      </c>
    </row>
    <row r="890" spans="1:28" x14ac:dyDescent="0.25">
      <c r="A890" t="s">
        <v>894</v>
      </c>
      <c r="B890">
        <v>1</v>
      </c>
      <c r="C890">
        <v>0.69788621098380099</v>
      </c>
      <c r="D890">
        <v>0.96142828921374901</v>
      </c>
      <c r="E890">
        <v>1.12979059660213</v>
      </c>
      <c r="F890">
        <v>1.00019755037535</v>
      </c>
      <c r="G890">
        <v>1.3278348478862101</v>
      </c>
      <c r="H890">
        <v>1.2321216910312101</v>
      </c>
      <c r="I890">
        <v>1.37712366653497</v>
      </c>
      <c r="J890">
        <v>0.93898656657447699</v>
      </c>
      <c r="K890">
        <v>1.3111418411694999</v>
      </c>
      <c r="L890">
        <v>13576.822374281601</v>
      </c>
      <c r="M890">
        <v>250</v>
      </c>
      <c r="O890">
        <v>54.303814206511802</v>
      </c>
      <c r="P890">
        <v>0.27327939513924998</v>
      </c>
      <c r="Q890">
        <v>1.2374418156547899</v>
      </c>
      <c r="R890">
        <v>0.44587314977578801</v>
      </c>
      <c r="S890" t="s">
        <v>2216</v>
      </c>
      <c r="T890" t="s">
        <v>2650</v>
      </c>
      <c r="U890" t="s">
        <v>2650</v>
      </c>
      <c r="V890" t="s">
        <v>2650</v>
      </c>
      <c r="W890" t="s">
        <v>3540</v>
      </c>
      <c r="X890">
        <v>3</v>
      </c>
      <c r="Y890" t="s">
        <v>4853</v>
      </c>
      <c r="Z890" t="s">
        <v>6170</v>
      </c>
      <c r="AA890">
        <v>1.124180892267336</v>
      </c>
      <c r="AB890" t="str">
        <f>HYPERLINK("Melting_Curves/meltCurve_Q15293_RCN1.pdf", "Melting_Curves/meltCurve_Q15293_RCN1.pdf")</f>
        <v>Melting_Curves/meltCurve_Q15293_RCN1.pdf</v>
      </c>
    </row>
    <row r="891" spans="1:28" x14ac:dyDescent="0.25">
      <c r="A891" t="s">
        <v>895</v>
      </c>
      <c r="B891">
        <v>1</v>
      </c>
      <c r="C891">
        <v>0.54852876592007005</v>
      </c>
      <c r="D891">
        <v>1.01371199921925</v>
      </c>
      <c r="E891">
        <v>1.0126872590640701</v>
      </c>
      <c r="F891">
        <v>0.63963304543014698</v>
      </c>
      <c r="G891">
        <v>0.740789537890987</v>
      </c>
      <c r="H891">
        <v>0.70931537598204297</v>
      </c>
      <c r="I891">
        <v>0.65422339335382795</v>
      </c>
      <c r="J891">
        <v>0.37506465622407698</v>
      </c>
      <c r="K891">
        <v>0.66998487288342401</v>
      </c>
      <c r="L891">
        <v>210.162731306186</v>
      </c>
      <c r="M891">
        <v>2.7735630063309098</v>
      </c>
      <c r="O891">
        <v>53.820101839061103</v>
      </c>
      <c r="P891">
        <v>-1.3380507761416799E-2</v>
      </c>
      <c r="Q891">
        <v>0</v>
      </c>
      <c r="R891">
        <v>0.33980445571543599</v>
      </c>
      <c r="S891" t="s">
        <v>2217</v>
      </c>
      <c r="T891" t="s">
        <v>2650</v>
      </c>
      <c r="U891" t="s">
        <v>2650</v>
      </c>
      <c r="V891" t="s">
        <v>2650</v>
      </c>
      <c r="W891" t="s">
        <v>3541</v>
      </c>
      <c r="X891">
        <v>1</v>
      </c>
      <c r="Y891" t="s">
        <v>4854</v>
      </c>
      <c r="Z891" t="s">
        <v>6171</v>
      </c>
      <c r="AA891">
        <v>0.74076729491802695</v>
      </c>
      <c r="AB891" t="str">
        <f>HYPERLINK("Melting_Curves/meltCurve_Q15311_RALBP1.pdf", "Melting_Curves/meltCurve_Q15311_RALBP1.pdf")</f>
        <v>Melting_Curves/meltCurve_Q15311_RALBP1.pdf</v>
      </c>
    </row>
    <row r="892" spans="1:28" x14ac:dyDescent="0.25">
      <c r="A892" t="s">
        <v>896</v>
      </c>
      <c r="B892">
        <v>1</v>
      </c>
      <c r="C892">
        <v>0.90694854724218499</v>
      </c>
      <c r="D892">
        <v>1.26356862572197</v>
      </c>
      <c r="E892">
        <v>1.4806225475067201</v>
      </c>
      <c r="F892">
        <v>1.24756404038623</v>
      </c>
      <c r="G892">
        <v>1.3140293637846701</v>
      </c>
      <c r="H892">
        <v>1.1896741766236101</v>
      </c>
      <c r="I892">
        <v>1.44643093338036</v>
      </c>
      <c r="J892">
        <v>1.0778184383404601</v>
      </c>
      <c r="K892">
        <v>1.36069838190556</v>
      </c>
      <c r="L892">
        <v>11411.912635972199</v>
      </c>
      <c r="M892">
        <v>250</v>
      </c>
      <c r="O892">
        <v>45.644727590615098</v>
      </c>
      <c r="P892">
        <v>0.41407494740516099</v>
      </c>
      <c r="Q892">
        <v>1.3024054224433701</v>
      </c>
      <c r="R892">
        <v>0.58756216999167299</v>
      </c>
      <c r="S892" t="s">
        <v>2218</v>
      </c>
      <c r="T892" t="s">
        <v>2650</v>
      </c>
      <c r="U892" t="s">
        <v>2650</v>
      </c>
      <c r="V892" t="s">
        <v>2650</v>
      </c>
      <c r="W892" t="s">
        <v>3542</v>
      </c>
      <c r="X892">
        <v>4</v>
      </c>
      <c r="Y892" t="s">
        <v>4855</v>
      </c>
      <c r="Z892" t="s">
        <v>6172</v>
      </c>
      <c r="AA892">
        <v>1.2454518581833189</v>
      </c>
      <c r="AB892" t="str">
        <f>HYPERLINK("Melting_Curves/meltCurve_Q15365_PCBP1.pdf", "Melting_Curves/meltCurve_Q15365_PCBP1.pdf")</f>
        <v>Melting_Curves/meltCurve_Q15365_PCBP1.pdf</v>
      </c>
    </row>
    <row r="893" spans="1:28" x14ac:dyDescent="0.25">
      <c r="A893" t="s">
        <v>897</v>
      </c>
      <c r="B893">
        <v>1</v>
      </c>
      <c r="C893">
        <v>0.86759060972160496</v>
      </c>
      <c r="D893">
        <v>1.2805769930098201</v>
      </c>
      <c r="E893">
        <v>1.3438522768596699</v>
      </c>
      <c r="F893">
        <v>1.10497393834094</v>
      </c>
      <c r="G893">
        <v>1.1206109337751</v>
      </c>
      <c r="H893">
        <v>1.1863105580023401</v>
      </c>
      <c r="I893">
        <v>1.6620873570649299</v>
      </c>
      <c r="J893">
        <v>1.4037738898541401</v>
      </c>
      <c r="K893">
        <v>2.0135359004404201</v>
      </c>
      <c r="L893">
        <v>609.42255157977297</v>
      </c>
      <c r="M893">
        <v>11.3619631271134</v>
      </c>
      <c r="O893">
        <v>52.056155723064997</v>
      </c>
      <c r="P893">
        <v>2.72910725443598E-2</v>
      </c>
      <c r="Q893">
        <v>1.5</v>
      </c>
      <c r="R893">
        <v>0.43917182617755701</v>
      </c>
      <c r="S893" t="s">
        <v>2219</v>
      </c>
      <c r="T893" t="s">
        <v>2650</v>
      </c>
      <c r="U893" t="s">
        <v>2650</v>
      </c>
      <c r="V893" t="s">
        <v>2650</v>
      </c>
      <c r="W893" t="s">
        <v>3543</v>
      </c>
      <c r="X893">
        <v>2</v>
      </c>
      <c r="Y893" t="s">
        <v>4856</v>
      </c>
      <c r="Z893" t="s">
        <v>6173</v>
      </c>
      <c r="AA893">
        <v>1.2584857666578879</v>
      </c>
      <c r="AB893" t="str">
        <f>HYPERLINK("Melting_Curves/meltCurve_Q15389_2_ANGPT1.pdf", "Melting_Curves/meltCurve_Q15389_2_ANGPT1.pdf")</f>
        <v>Melting_Curves/meltCurve_Q15389_2_ANGPT1.pdf</v>
      </c>
    </row>
    <row r="894" spans="1:28" x14ac:dyDescent="0.25">
      <c r="A894" t="s">
        <v>898</v>
      </c>
      <c r="B894">
        <v>1</v>
      </c>
      <c r="C894">
        <v>0.63818532578256304</v>
      </c>
      <c r="D894">
        <v>1.1644626299085199</v>
      </c>
      <c r="E894">
        <v>1.6601842056132901</v>
      </c>
      <c r="F894">
        <v>1.68912191175555</v>
      </c>
      <c r="G894">
        <v>2.2140456780135702</v>
      </c>
      <c r="H894">
        <v>2.4005849772854599</v>
      </c>
      <c r="I894">
        <v>3.12651689588649</v>
      </c>
      <c r="J894">
        <v>1.99654614475076</v>
      </c>
      <c r="K894">
        <v>3.0949343456344498</v>
      </c>
      <c r="L894">
        <v>11532.800302158699</v>
      </c>
      <c r="M894">
        <v>250</v>
      </c>
      <c r="O894">
        <v>46.128249995789197</v>
      </c>
      <c r="P894">
        <v>0.67745905457396804</v>
      </c>
      <c r="Q894">
        <v>1.5</v>
      </c>
      <c r="R894">
        <v>-9.6796075214962404E-2</v>
      </c>
      <c r="S894" t="s">
        <v>2220</v>
      </c>
      <c r="T894" t="s">
        <v>2650</v>
      </c>
      <c r="U894" t="s">
        <v>2650</v>
      </c>
      <c r="V894" t="s">
        <v>2650</v>
      </c>
      <c r="W894" t="s">
        <v>3544</v>
      </c>
      <c r="X894">
        <v>1</v>
      </c>
      <c r="Y894" t="s">
        <v>4857</v>
      </c>
      <c r="Z894" t="s">
        <v>6174</v>
      </c>
      <c r="AA894">
        <v>1.39777283341934</v>
      </c>
      <c r="AB894" t="str">
        <f>HYPERLINK("Melting_Curves/meltCurve_Q15404_2_RSU1.pdf", "Melting_Curves/meltCurve_Q15404_2_RSU1.pdf")</f>
        <v>Melting_Curves/meltCurve_Q15404_2_RSU1.pdf</v>
      </c>
    </row>
    <row r="895" spans="1:28" x14ac:dyDescent="0.25">
      <c r="A895" t="s">
        <v>899</v>
      </c>
      <c r="B895">
        <v>1</v>
      </c>
      <c r="C895">
        <v>0.66854079118968301</v>
      </c>
      <c r="D895">
        <v>1.6350528908853801</v>
      </c>
      <c r="E895">
        <v>1.67620634690625</v>
      </c>
      <c r="F895">
        <v>1.3123460368062601</v>
      </c>
      <c r="G895">
        <v>1.1852630053615401</v>
      </c>
      <c r="H895">
        <v>1.77126503405304</v>
      </c>
      <c r="I895">
        <v>1.41095493406753</v>
      </c>
      <c r="J895">
        <v>1.1402695261556299</v>
      </c>
      <c r="K895">
        <v>1.16591798290103</v>
      </c>
      <c r="L895">
        <v>11109.357529172599</v>
      </c>
      <c r="M895">
        <v>250</v>
      </c>
      <c r="O895">
        <v>44.434586398909197</v>
      </c>
      <c r="P895">
        <v>0.57972658984500602</v>
      </c>
      <c r="Q895">
        <v>1.41215857958199</v>
      </c>
      <c r="R895">
        <v>0.46373042050591601</v>
      </c>
      <c r="S895" t="s">
        <v>2221</v>
      </c>
      <c r="T895" t="s">
        <v>2650</v>
      </c>
      <c r="U895" t="s">
        <v>2650</v>
      </c>
      <c r="V895" t="s">
        <v>2650</v>
      </c>
      <c r="W895" t="s">
        <v>3545</v>
      </c>
      <c r="X895">
        <v>1</v>
      </c>
      <c r="Y895" t="s">
        <v>4858</v>
      </c>
      <c r="Z895" t="s">
        <v>6175</v>
      </c>
      <c r="AA895">
        <v>1.3511622734419131</v>
      </c>
      <c r="AB895" t="str">
        <f>HYPERLINK("Melting_Curves/meltCurve_Q15517_CDSN.pdf", "Melting_Curves/meltCurve_Q15517_CDSN.pdf")</f>
        <v>Melting_Curves/meltCurve_Q15517_CDSN.pdf</v>
      </c>
    </row>
    <row r="896" spans="1:28" x14ac:dyDescent="0.25">
      <c r="A896" t="s">
        <v>900</v>
      </c>
      <c r="B896">
        <v>1</v>
      </c>
      <c r="C896">
        <v>0.90447938297241204</v>
      </c>
      <c r="D896">
        <v>1.3866969906720701</v>
      </c>
      <c r="E896">
        <v>1.6041398859553699</v>
      </c>
      <c r="F896">
        <v>1.39513497478493</v>
      </c>
      <c r="G896">
        <v>1.7036487689113</v>
      </c>
      <c r="H896">
        <v>1.7133392662909099</v>
      </c>
      <c r="I896">
        <v>2.12254853488909</v>
      </c>
      <c r="J896">
        <v>1.713569992419</v>
      </c>
      <c r="K896">
        <v>1.9613368931078801</v>
      </c>
      <c r="L896">
        <v>11443.5315345134</v>
      </c>
      <c r="M896">
        <v>250</v>
      </c>
      <c r="O896">
        <v>45.771196836121</v>
      </c>
      <c r="P896">
        <v>0.68274378112823297</v>
      </c>
      <c r="Q896">
        <v>1.5</v>
      </c>
      <c r="R896">
        <v>0.43276925502559299</v>
      </c>
      <c r="S896" t="s">
        <v>2222</v>
      </c>
      <c r="T896" t="s">
        <v>2650</v>
      </c>
      <c r="U896" t="s">
        <v>2650</v>
      </c>
      <c r="V896" t="s">
        <v>2650</v>
      </c>
      <c r="W896" t="s">
        <v>3546</v>
      </c>
      <c r="X896">
        <v>1</v>
      </c>
      <c r="Y896" t="s">
        <v>4859</v>
      </c>
      <c r="Z896" t="s">
        <v>6176</v>
      </c>
      <c r="AA896">
        <v>1.403724397926285</v>
      </c>
      <c r="AB896" t="str">
        <f>HYPERLINK("Melting_Curves/meltCurve_Q15631_TSN.pdf", "Melting_Curves/meltCurve_Q15631_TSN.pdf")</f>
        <v>Melting_Curves/meltCurve_Q15631_TSN.pdf</v>
      </c>
    </row>
    <row r="897" spans="1:28" x14ac:dyDescent="0.25">
      <c r="A897" t="s">
        <v>901</v>
      </c>
      <c r="B897">
        <v>1</v>
      </c>
      <c r="C897">
        <v>1.01103850853894</v>
      </c>
      <c r="D897">
        <v>1.0564852500075701</v>
      </c>
      <c r="E897">
        <v>1.0739569972832901</v>
      </c>
      <c r="F897">
        <v>0.73108658109213598</v>
      </c>
      <c r="G897">
        <v>0.34977832089439198</v>
      </c>
      <c r="H897">
        <v>0.18588727188260601</v>
      </c>
      <c r="I897">
        <v>0.223093004231597</v>
      </c>
      <c r="J897">
        <v>0.141228273932759</v>
      </c>
      <c r="K897">
        <v>0.16471918963410301</v>
      </c>
      <c r="L897">
        <v>1893.64128557905</v>
      </c>
      <c r="M897">
        <v>34.757704458902097</v>
      </c>
      <c r="N897">
        <v>55.170936900000598</v>
      </c>
      <c r="O897">
        <v>54.3018199626949</v>
      </c>
      <c r="P897">
        <v>-0.13182315552945501</v>
      </c>
      <c r="Q897">
        <v>0.176216209121595</v>
      </c>
      <c r="R897">
        <v>0.98632505281171501</v>
      </c>
      <c r="S897" t="s">
        <v>2223</v>
      </c>
      <c r="T897" t="s">
        <v>2650</v>
      </c>
      <c r="U897" t="s">
        <v>2650</v>
      </c>
      <c r="V897" t="s">
        <v>2650</v>
      </c>
      <c r="W897" t="s">
        <v>3547</v>
      </c>
      <c r="X897">
        <v>1</v>
      </c>
      <c r="Y897" t="s">
        <v>4860</v>
      </c>
      <c r="Z897" t="s">
        <v>6177</v>
      </c>
      <c r="AA897">
        <v>0.57794922698087703</v>
      </c>
      <c r="AB897" t="str">
        <f>HYPERLINK("Melting_Curves/meltCurve_Q15691_MAPRE1.pdf", "Melting_Curves/meltCurve_Q15691_MAPRE1.pdf")</f>
        <v>Melting_Curves/meltCurve_Q15691_MAPRE1.pdf</v>
      </c>
    </row>
    <row r="898" spans="1:28" x14ac:dyDescent="0.25">
      <c r="A898" t="s">
        <v>902</v>
      </c>
      <c r="B898">
        <v>1</v>
      </c>
      <c r="C898">
        <v>0.95700135074290904</v>
      </c>
      <c r="D898">
        <v>1.35729196512627</v>
      </c>
      <c r="E898">
        <v>2.8302157095493401</v>
      </c>
      <c r="F898">
        <v>4.7079530105194198</v>
      </c>
      <c r="G898">
        <v>7.0938561663460398</v>
      </c>
      <c r="H898">
        <v>4.6739797797879703</v>
      </c>
      <c r="I898">
        <v>5.9754001064221702</v>
      </c>
      <c r="J898">
        <v>5.8374606033318299</v>
      </c>
      <c r="K898">
        <v>5.4881093692439897</v>
      </c>
      <c r="S898" t="s">
        <v>2224</v>
      </c>
      <c r="T898" t="s">
        <v>2650</v>
      </c>
      <c r="U898" t="s">
        <v>2651</v>
      </c>
      <c r="V898" t="s">
        <v>2650</v>
      </c>
      <c r="W898" t="s">
        <v>3548</v>
      </c>
      <c r="X898">
        <v>4</v>
      </c>
      <c r="Y898" t="s">
        <v>4861</v>
      </c>
      <c r="Z898" t="s">
        <v>6178</v>
      </c>
      <c r="AB898" t="str">
        <f>HYPERLINK("Melting_Curves/meltCurve_Q15819_UBE2V2.pdf", "Melting_Curves/meltCurve_Q15819_UBE2V2.pdf")</f>
        <v>Melting_Curves/meltCurve_Q15819_UBE2V2.pdf</v>
      </c>
    </row>
    <row r="899" spans="1:28" x14ac:dyDescent="0.25">
      <c r="A899" t="s">
        <v>903</v>
      </c>
      <c r="B899">
        <v>1</v>
      </c>
      <c r="C899">
        <v>0.76301684116681301</v>
      </c>
      <c r="D899">
        <v>1.1458299357448101</v>
      </c>
      <c r="E899">
        <v>1.3395740239407701</v>
      </c>
      <c r="F899">
        <v>1.0216467160268301</v>
      </c>
      <c r="G899">
        <v>1.04708785892125</v>
      </c>
      <c r="H899">
        <v>1.0202659360492301</v>
      </c>
      <c r="I899">
        <v>1.1860573839112001</v>
      </c>
      <c r="J899">
        <v>0.69008556486947803</v>
      </c>
      <c r="K899">
        <v>0.99020407275732003</v>
      </c>
      <c r="L899">
        <v>2075.7589582913301</v>
      </c>
      <c r="M899">
        <v>31.374469736964699</v>
      </c>
      <c r="O899">
        <v>65.893724598543002</v>
      </c>
      <c r="P899">
        <v>-1.4879541547532999E-2</v>
      </c>
      <c r="Q899">
        <v>0.874998612114675</v>
      </c>
      <c r="R899">
        <v>4.3034280255446297E-2</v>
      </c>
      <c r="S899" t="s">
        <v>2225</v>
      </c>
      <c r="T899" t="s">
        <v>2650</v>
      </c>
      <c r="U899" t="s">
        <v>2650</v>
      </c>
      <c r="V899" t="s">
        <v>2650</v>
      </c>
      <c r="W899" t="s">
        <v>3549</v>
      </c>
      <c r="X899">
        <v>10</v>
      </c>
      <c r="Y899" t="s">
        <v>4862</v>
      </c>
      <c r="Z899" t="s">
        <v>6179</v>
      </c>
      <c r="AA899">
        <v>0.98319121052312519</v>
      </c>
      <c r="AB899" t="str">
        <f>HYPERLINK("Melting_Curves/meltCurve_Q15828_CST6.pdf", "Melting_Curves/meltCurve_Q15828_CST6.pdf")</f>
        <v>Melting_Curves/meltCurve_Q15828_CST6.pdf</v>
      </c>
    </row>
    <row r="900" spans="1:28" x14ac:dyDescent="0.25">
      <c r="A900" t="s">
        <v>904</v>
      </c>
      <c r="B900">
        <v>1</v>
      </c>
      <c r="C900">
        <v>0.61170788818966804</v>
      </c>
      <c r="D900">
        <v>1.2014927557441799</v>
      </c>
      <c r="E900">
        <v>1.3678033074784099</v>
      </c>
      <c r="F900">
        <v>1.03647007171082</v>
      </c>
      <c r="G900">
        <v>0.890004390458071</v>
      </c>
      <c r="H900">
        <v>0.96212498170642502</v>
      </c>
      <c r="I900">
        <v>1.19894629006293</v>
      </c>
      <c r="J900">
        <v>0.57529635591980099</v>
      </c>
      <c r="K900">
        <v>0.948631640567833</v>
      </c>
      <c r="L900">
        <v>4112.3411829237202</v>
      </c>
      <c r="M900">
        <v>62.791906192972299</v>
      </c>
      <c r="O900">
        <v>65.425241808550894</v>
      </c>
      <c r="P900">
        <v>-5.1434558099662901E-2</v>
      </c>
      <c r="Q900">
        <v>0.78563366231178899</v>
      </c>
      <c r="R900">
        <v>0.12895006819420601</v>
      </c>
      <c r="S900" t="s">
        <v>2226</v>
      </c>
      <c r="T900" t="s">
        <v>2650</v>
      </c>
      <c r="U900" t="s">
        <v>2650</v>
      </c>
      <c r="V900" t="s">
        <v>2650</v>
      </c>
      <c r="W900" t="s">
        <v>3550</v>
      </c>
      <c r="X900">
        <v>1</v>
      </c>
      <c r="Y900" t="s">
        <v>3550</v>
      </c>
      <c r="Z900" t="s">
        <v>6180</v>
      </c>
      <c r="AA900">
        <v>0.96802349421072131</v>
      </c>
      <c r="AB900" t="str">
        <f>HYPERLINK("Melting_Curves/meltCurve_Q15843_NEDD8.pdf", "Melting_Curves/meltCurve_Q15843_NEDD8.pdf")</f>
        <v>Melting_Curves/meltCurve_Q15843_NEDD8.pdf</v>
      </c>
    </row>
    <row r="901" spans="1:28" x14ac:dyDescent="0.25">
      <c r="A901" t="s">
        <v>905</v>
      </c>
      <c r="B901">
        <v>1</v>
      </c>
      <c r="C901">
        <v>0.79933074650243896</v>
      </c>
      <c r="D901">
        <v>0.867003666654801</v>
      </c>
      <c r="E901">
        <v>1.08479584208465</v>
      </c>
      <c r="F901">
        <v>0.78352497241109298</v>
      </c>
      <c r="G901">
        <v>0.92089993236267897</v>
      </c>
      <c r="H901">
        <v>0.654230892456659</v>
      </c>
      <c r="I901">
        <v>0.73902673454131196</v>
      </c>
      <c r="J901">
        <v>0.42721868214018699</v>
      </c>
      <c r="K901">
        <v>0.43754227332597601</v>
      </c>
      <c r="L901">
        <v>565.96728756108098</v>
      </c>
      <c r="M901">
        <v>8.3618331356738604</v>
      </c>
      <c r="N901">
        <v>67.684594717320294</v>
      </c>
      <c r="O901">
        <v>64.145377850324707</v>
      </c>
      <c r="P901">
        <v>-3.2620613421468797E-2</v>
      </c>
      <c r="Q901">
        <v>0</v>
      </c>
      <c r="R901">
        <v>0.71915294915147798</v>
      </c>
      <c r="S901" t="s">
        <v>2227</v>
      </c>
      <c r="T901" t="s">
        <v>2650</v>
      </c>
      <c r="U901" t="s">
        <v>2650</v>
      </c>
      <c r="V901" t="s">
        <v>2650</v>
      </c>
      <c r="W901" t="s">
        <v>3551</v>
      </c>
      <c r="X901">
        <v>1</v>
      </c>
      <c r="Y901" t="s">
        <v>4863</v>
      </c>
      <c r="Z901" t="s">
        <v>6181</v>
      </c>
      <c r="AA901">
        <v>0.81081963670988955</v>
      </c>
      <c r="AB901" t="str">
        <f>HYPERLINK("Melting_Curves/meltCurve_Q15847_ADIRF.pdf", "Melting_Curves/meltCurve_Q15847_ADIRF.pdf")</f>
        <v>Melting_Curves/meltCurve_Q15847_ADIRF.pdf</v>
      </c>
    </row>
    <row r="902" spans="1:28" x14ac:dyDescent="0.25">
      <c r="A902" t="s">
        <v>906</v>
      </c>
      <c r="B902">
        <v>1</v>
      </c>
      <c r="C902">
        <v>0.71672219577978702</v>
      </c>
      <c r="D902">
        <v>1.04513723623671</v>
      </c>
      <c r="E902">
        <v>1.18927494843725</v>
      </c>
      <c r="F902">
        <v>0.96715849595430703</v>
      </c>
      <c r="G902">
        <v>0.84027447247342502</v>
      </c>
      <c r="H902">
        <v>0.90603680786926899</v>
      </c>
      <c r="I902">
        <v>1.0970569570046</v>
      </c>
      <c r="J902">
        <v>0.61891162938283395</v>
      </c>
      <c r="K902">
        <v>0.81564334443915598</v>
      </c>
      <c r="L902">
        <v>977.73509614489296</v>
      </c>
      <c r="M902">
        <v>14.3913800350279</v>
      </c>
      <c r="O902">
        <v>66.667547833893295</v>
      </c>
      <c r="P902">
        <v>-2.2023426058171799E-2</v>
      </c>
      <c r="Q902">
        <v>0.59195758200714399</v>
      </c>
      <c r="R902">
        <v>0.17705294916161801</v>
      </c>
      <c r="S902" t="s">
        <v>2228</v>
      </c>
      <c r="T902" t="s">
        <v>2650</v>
      </c>
      <c r="U902" t="s">
        <v>2650</v>
      </c>
      <c r="V902" t="s">
        <v>2650</v>
      </c>
      <c r="W902" t="s">
        <v>3552</v>
      </c>
      <c r="X902">
        <v>4</v>
      </c>
      <c r="Y902" t="s">
        <v>4864</v>
      </c>
      <c r="Z902" t="s">
        <v>6182</v>
      </c>
      <c r="AA902">
        <v>0.94601643849093686</v>
      </c>
      <c r="AB902" t="str">
        <f>HYPERLINK("Melting_Curves/meltCurve_Q15904_ATP6AP1.pdf", "Melting_Curves/meltCurve_Q15904_ATP6AP1.pdf")</f>
        <v>Melting_Curves/meltCurve_Q15904_ATP6AP1.pdf</v>
      </c>
    </row>
    <row r="903" spans="1:28" x14ac:dyDescent="0.25">
      <c r="A903" t="s">
        <v>907</v>
      </c>
      <c r="B903">
        <v>1</v>
      </c>
      <c r="C903">
        <v>0.75704523426860804</v>
      </c>
      <c r="D903">
        <v>1.1738703701431701</v>
      </c>
      <c r="E903">
        <v>1.31543755904256</v>
      </c>
      <c r="F903">
        <v>0.83886441988001303</v>
      </c>
      <c r="G903">
        <v>0.86330343888405003</v>
      </c>
      <c r="H903">
        <v>0.72794415340637197</v>
      </c>
      <c r="I903">
        <v>0.891607061796857</v>
      </c>
      <c r="J903">
        <v>0.55179182666944804</v>
      </c>
      <c r="K903">
        <v>0.84709663963488702</v>
      </c>
      <c r="L903">
        <v>13199.8199366628</v>
      </c>
      <c r="M903">
        <v>250</v>
      </c>
      <c r="O903">
        <v>52.795901017869802</v>
      </c>
      <c r="P903">
        <v>-0.26475957453162002</v>
      </c>
      <c r="Q903">
        <v>0.77634847593140899</v>
      </c>
      <c r="R903">
        <v>0.38776556950081598</v>
      </c>
      <c r="S903" t="s">
        <v>2229</v>
      </c>
      <c r="T903" t="s">
        <v>2650</v>
      </c>
      <c r="U903" t="s">
        <v>2650</v>
      </c>
      <c r="V903" t="s">
        <v>2650</v>
      </c>
      <c r="W903" t="s">
        <v>3553</v>
      </c>
      <c r="X903">
        <v>1</v>
      </c>
      <c r="Y903" t="s">
        <v>4865</v>
      </c>
      <c r="Z903" t="s">
        <v>6183</v>
      </c>
      <c r="AA903">
        <v>0.87178848065370529</v>
      </c>
      <c r="AB903" t="str">
        <f>HYPERLINK("Melting_Curves/meltCurve_Q16204_CCDC6.pdf", "Melting_Curves/meltCurve_Q16204_CCDC6.pdf")</f>
        <v>Melting_Curves/meltCurve_Q16204_CCDC6.pdf</v>
      </c>
    </row>
    <row r="904" spans="1:28" x14ac:dyDescent="0.25">
      <c r="A904" t="s">
        <v>908</v>
      </c>
      <c r="B904">
        <v>1</v>
      </c>
      <c r="C904">
        <v>0.75321600505090402</v>
      </c>
      <c r="D904">
        <v>1.1150264383237301</v>
      </c>
      <c r="E904">
        <v>1.3120906005840101</v>
      </c>
      <c r="F904">
        <v>1.03275195327914</v>
      </c>
      <c r="G904">
        <v>1.03275195327914</v>
      </c>
      <c r="H904">
        <v>0.93236524346933902</v>
      </c>
      <c r="I904">
        <v>1.1171967484807801</v>
      </c>
      <c r="J904">
        <v>0.69359166600899702</v>
      </c>
      <c r="K904">
        <v>0.93552205824323298</v>
      </c>
      <c r="L904">
        <v>15000</v>
      </c>
      <c r="M904">
        <v>229.143941322171</v>
      </c>
      <c r="O904">
        <v>65.456050700319295</v>
      </c>
      <c r="P904">
        <v>-0.16216403731700099</v>
      </c>
      <c r="Q904">
        <v>0.81470830316744602</v>
      </c>
      <c r="R904">
        <v>0.23403489868482699</v>
      </c>
      <c r="S904" t="s">
        <v>2230</v>
      </c>
      <c r="T904" t="s">
        <v>2650</v>
      </c>
      <c r="U904" t="s">
        <v>2650</v>
      </c>
      <c r="V904" t="s">
        <v>2650</v>
      </c>
      <c r="W904" t="s">
        <v>3554</v>
      </c>
      <c r="X904">
        <v>8</v>
      </c>
      <c r="Y904" t="s">
        <v>4866</v>
      </c>
      <c r="Z904" t="s">
        <v>6184</v>
      </c>
      <c r="AA904">
        <v>0.97199093275003934</v>
      </c>
      <c r="AB904" t="str">
        <f>HYPERLINK("Melting_Curves/meltCurve_Q16270_2_IGFBP7.pdf", "Melting_Curves/meltCurve_Q16270_2_IGFBP7.pdf")</f>
        <v>Melting_Curves/meltCurve_Q16270_2_IGFBP7.pdf</v>
      </c>
    </row>
    <row r="905" spans="1:28" x14ac:dyDescent="0.25">
      <c r="A905" t="s">
        <v>909</v>
      </c>
      <c r="B905">
        <v>1</v>
      </c>
      <c r="C905">
        <v>0.53881785929446402</v>
      </c>
      <c r="D905">
        <v>0.93654193721132595</v>
      </c>
      <c r="E905">
        <v>0.90501372247138401</v>
      </c>
      <c r="F905">
        <v>0.94256643684316199</v>
      </c>
      <c r="G905">
        <v>0.89524064529084901</v>
      </c>
      <c r="H905">
        <v>0.63055760091036905</v>
      </c>
      <c r="I905">
        <v>0.85501037552714398</v>
      </c>
      <c r="J905">
        <v>0.69549501305308203</v>
      </c>
      <c r="K905">
        <v>0.61006760827364603</v>
      </c>
      <c r="L905">
        <v>135.73629975984801</v>
      </c>
      <c r="M905">
        <v>1.06999480376249</v>
      </c>
      <c r="O905">
        <v>47.953414544603703</v>
      </c>
      <c r="P905">
        <v>-7.3897296130772802E-3</v>
      </c>
      <c r="Q905">
        <v>0</v>
      </c>
      <c r="R905">
        <v>0.15545273312696201</v>
      </c>
      <c r="S905" t="s">
        <v>2231</v>
      </c>
      <c r="T905" t="s">
        <v>2650</v>
      </c>
      <c r="U905" t="s">
        <v>2650</v>
      </c>
      <c r="V905" t="s">
        <v>2650</v>
      </c>
      <c r="W905" t="s">
        <v>3555</v>
      </c>
      <c r="X905">
        <v>1</v>
      </c>
      <c r="Y905" t="s">
        <v>4867</v>
      </c>
      <c r="Z905" t="s">
        <v>6185</v>
      </c>
      <c r="AA905">
        <v>0.8040115752983541</v>
      </c>
      <c r="AB905" t="str">
        <f>HYPERLINK("Melting_Curves/meltCurve_Q16378_PRR4.pdf", "Melting_Curves/meltCurve_Q16378_PRR4.pdf")</f>
        <v>Melting_Curves/meltCurve_Q16378_PRR4.pdf</v>
      </c>
    </row>
    <row r="906" spans="1:28" x14ac:dyDescent="0.25">
      <c r="A906" t="s">
        <v>910</v>
      </c>
      <c r="B906">
        <v>1</v>
      </c>
      <c r="C906">
        <v>0.93549976314542904</v>
      </c>
      <c r="D906">
        <v>1.5450686878256801</v>
      </c>
      <c r="E906">
        <v>2.2974893415442899</v>
      </c>
      <c r="F906">
        <v>1.8905731880625301</v>
      </c>
      <c r="G906">
        <v>2.1284699194694499</v>
      </c>
      <c r="H906">
        <v>2.0956892468024599</v>
      </c>
      <c r="I906">
        <v>2.2054002842254898</v>
      </c>
      <c r="J906">
        <v>1.3296068214116501</v>
      </c>
      <c r="K906">
        <v>1.85470393178588</v>
      </c>
      <c r="L906">
        <v>11108.4844084343</v>
      </c>
      <c r="M906">
        <v>250</v>
      </c>
      <c r="O906">
        <v>44.431094148923201</v>
      </c>
      <c r="P906">
        <v>0.70333627001375298</v>
      </c>
      <c r="Q906">
        <v>1.5</v>
      </c>
      <c r="R906">
        <v>1.94159441419515E-2</v>
      </c>
      <c r="S906" t="s">
        <v>2232</v>
      </c>
      <c r="T906" t="s">
        <v>2650</v>
      </c>
      <c r="U906" t="s">
        <v>2650</v>
      </c>
      <c r="V906" t="s">
        <v>2650</v>
      </c>
      <c r="W906" t="s">
        <v>3556</v>
      </c>
      <c r="X906">
        <v>2</v>
      </c>
      <c r="Y906" t="s">
        <v>4868</v>
      </c>
      <c r="Z906" t="s">
        <v>6186</v>
      </c>
      <c r="AA906">
        <v>1.4260620490032101</v>
      </c>
      <c r="AB906" t="str">
        <f>HYPERLINK("Melting_Curves/meltCurve_Q16531_DDB1.pdf", "Melting_Curves/meltCurve_Q16531_DDB1.pdf")</f>
        <v>Melting_Curves/meltCurve_Q16531_DDB1.pdf</v>
      </c>
    </row>
    <row r="907" spans="1:28" x14ac:dyDescent="0.25">
      <c r="A907" t="s">
        <v>911</v>
      </c>
      <c r="B907">
        <v>1</v>
      </c>
      <c r="C907">
        <v>0.73773573084393196</v>
      </c>
      <c r="D907">
        <v>1.03301798132949</v>
      </c>
      <c r="E907">
        <v>1.0911597017730701</v>
      </c>
      <c r="F907">
        <v>0.82269281373347503</v>
      </c>
      <c r="G907">
        <v>1.0477413695883699</v>
      </c>
      <c r="H907">
        <v>0.90683541131508005</v>
      </c>
      <c r="I907">
        <v>1.0008771380239301</v>
      </c>
      <c r="J907">
        <v>0.63103815550404097</v>
      </c>
      <c r="K907">
        <v>0.92732284944552301</v>
      </c>
      <c r="L907">
        <v>269.91331512665101</v>
      </c>
      <c r="M907">
        <v>2.1762057315457199</v>
      </c>
      <c r="Q907">
        <v>0</v>
      </c>
      <c r="R907">
        <v>5.9602229276983103E-2</v>
      </c>
      <c r="S907" t="s">
        <v>2233</v>
      </c>
      <c r="T907" t="s">
        <v>2650</v>
      </c>
      <c r="U907" t="s">
        <v>2650</v>
      </c>
      <c r="V907" t="s">
        <v>2650</v>
      </c>
      <c r="W907" t="s">
        <v>3557</v>
      </c>
      <c r="X907">
        <v>1</v>
      </c>
      <c r="Y907" t="s">
        <v>4869</v>
      </c>
      <c r="Z907" t="s">
        <v>6187</v>
      </c>
      <c r="AA907">
        <v>0.9311218323915178</v>
      </c>
      <c r="AB907" t="str">
        <f>HYPERLINK("Melting_Curves/meltCurve_Q16543_CDC37.pdf", "Melting_Curves/meltCurve_Q16543_CDC37.pdf")</f>
        <v>Melting_Curves/meltCurve_Q16543_CDC37.pdf</v>
      </c>
    </row>
    <row r="908" spans="1:28" x14ac:dyDescent="0.25">
      <c r="A908" t="s">
        <v>912</v>
      </c>
      <c r="B908">
        <v>1</v>
      </c>
      <c r="C908">
        <v>0.79032376208614097</v>
      </c>
      <c r="D908">
        <v>1.1124743627307401</v>
      </c>
      <c r="E908">
        <v>1.3106321418107201</v>
      </c>
      <c r="F908">
        <v>1.04466378552593</v>
      </c>
      <c r="G908">
        <v>1.1451435687078799</v>
      </c>
      <c r="H908">
        <v>1.01770802812775</v>
      </c>
      <c r="I908">
        <v>1.21399794901846</v>
      </c>
      <c r="J908">
        <v>0.81715133313800203</v>
      </c>
      <c r="K908">
        <v>1.0139173747436301</v>
      </c>
      <c r="L908">
        <v>1764.88646004367</v>
      </c>
      <c r="M908">
        <v>25.705222527596401</v>
      </c>
      <c r="O908">
        <v>68.247163966218693</v>
      </c>
      <c r="P908">
        <v>-4.3478766819156902E-3</v>
      </c>
      <c r="Q908">
        <v>0.95382622958396002</v>
      </c>
      <c r="R908">
        <v>-8.7797813566019095E-2</v>
      </c>
      <c r="S908" t="s">
        <v>2234</v>
      </c>
      <c r="T908" t="s">
        <v>2650</v>
      </c>
      <c r="U908" t="s">
        <v>2650</v>
      </c>
      <c r="V908" t="s">
        <v>2650</v>
      </c>
      <c r="W908" t="s">
        <v>3558</v>
      </c>
      <c r="X908">
        <v>2</v>
      </c>
      <c r="Y908" t="s">
        <v>4870</v>
      </c>
      <c r="Z908" t="s">
        <v>6188</v>
      </c>
      <c r="AA908">
        <v>0.99622560831450779</v>
      </c>
      <c r="AB908" t="str">
        <f>HYPERLINK("Melting_Curves/meltCurve_Q16568_CARTPT.pdf", "Melting_Curves/meltCurve_Q16568_CARTPT.pdf")</f>
        <v>Melting_Curves/meltCurve_Q16568_CARTPT.pdf</v>
      </c>
    </row>
    <row r="909" spans="1:28" x14ac:dyDescent="0.25">
      <c r="A909" t="s">
        <v>913</v>
      </c>
      <c r="B909">
        <v>1</v>
      </c>
      <c r="C909">
        <v>0.82244130836190998</v>
      </c>
      <c r="D909">
        <v>1.1238789237668201</v>
      </c>
      <c r="E909">
        <v>1.30071221313638</v>
      </c>
      <c r="F909">
        <v>1.0013848588762899</v>
      </c>
      <c r="G909">
        <v>1.0623516222632501</v>
      </c>
      <c r="H909">
        <v>0.96465312582432095</v>
      </c>
      <c r="I909">
        <v>1.0948958058559699</v>
      </c>
      <c r="J909">
        <v>0.73766816143497804</v>
      </c>
      <c r="K909">
        <v>1.0031653917172201</v>
      </c>
      <c r="L909">
        <v>15000</v>
      </c>
      <c r="M909">
        <v>229.29605292324101</v>
      </c>
      <c r="O909">
        <v>65.412650261266506</v>
      </c>
      <c r="P909">
        <v>-0.113291696307302</v>
      </c>
      <c r="Q909">
        <v>0.87072244384620401</v>
      </c>
      <c r="R909">
        <v>0.14628928900674301</v>
      </c>
      <c r="S909" t="s">
        <v>2235</v>
      </c>
      <c r="T909" t="s">
        <v>2650</v>
      </c>
      <c r="U909" t="s">
        <v>2650</v>
      </c>
      <c r="V909" t="s">
        <v>2650</v>
      </c>
      <c r="W909" t="s">
        <v>3559</v>
      </c>
      <c r="X909">
        <v>11</v>
      </c>
      <c r="Y909" t="s">
        <v>4871</v>
      </c>
      <c r="Z909" t="s">
        <v>6189</v>
      </c>
      <c r="AA909">
        <v>0.98027097526822804</v>
      </c>
      <c r="AB909" t="str">
        <f>HYPERLINK("Melting_Curves/meltCurve_Q16610_ECM1.pdf", "Melting_Curves/meltCurve_Q16610_ECM1.pdf")</f>
        <v>Melting_Curves/meltCurve_Q16610_ECM1.pdf</v>
      </c>
    </row>
    <row r="910" spans="1:28" x14ac:dyDescent="0.25">
      <c r="A910" t="s">
        <v>914</v>
      </c>
      <c r="B910">
        <v>1</v>
      </c>
      <c r="C910">
        <v>0.76357460726809601</v>
      </c>
      <c r="D910">
        <v>1.1334266350069999</v>
      </c>
      <c r="E910">
        <v>1.35920620194047</v>
      </c>
      <c r="F910">
        <v>1.0395483779661301</v>
      </c>
      <c r="G910">
        <v>1.0509332788200001</v>
      </c>
      <c r="H910">
        <v>0.874294340572076</v>
      </c>
      <c r="I910">
        <v>1.07551145566336</v>
      </c>
      <c r="J910">
        <v>0.70320632774047498</v>
      </c>
      <c r="K910">
        <v>0.91881181891088604</v>
      </c>
      <c r="L910">
        <v>15000</v>
      </c>
      <c r="M910">
        <v>229.303846102601</v>
      </c>
      <c r="O910">
        <v>65.410426375363201</v>
      </c>
      <c r="P910">
        <v>-0.165577387586895</v>
      </c>
      <c r="Q910">
        <v>0.81107189784508404</v>
      </c>
      <c r="R910">
        <v>0.21839639228409</v>
      </c>
      <c r="S910" t="s">
        <v>2236</v>
      </c>
      <c r="T910" t="s">
        <v>2650</v>
      </c>
      <c r="U910" t="s">
        <v>2650</v>
      </c>
      <c r="V910" t="s">
        <v>2650</v>
      </c>
      <c r="W910" t="s">
        <v>3560</v>
      </c>
      <c r="X910">
        <v>4</v>
      </c>
      <c r="Y910" t="s">
        <v>4872</v>
      </c>
      <c r="Z910" t="s">
        <v>6190</v>
      </c>
      <c r="AA910">
        <v>0.97115371202322942</v>
      </c>
      <c r="AB910" t="str">
        <f>HYPERLINK("Melting_Curves/meltCurve_Q16651_PRSS8.pdf", "Melting_Curves/meltCurve_Q16651_PRSS8.pdf")</f>
        <v>Melting_Curves/meltCurve_Q16651_PRSS8.pdf</v>
      </c>
    </row>
    <row r="911" spans="1:28" x14ac:dyDescent="0.25">
      <c r="A911" t="s">
        <v>915</v>
      </c>
      <c r="B911">
        <v>1</v>
      </c>
      <c r="C911">
        <v>1.0284123267734</v>
      </c>
      <c r="D911">
        <v>1.15269252673543</v>
      </c>
      <c r="E911">
        <v>1.3706891096627201</v>
      </c>
      <c r="F911">
        <v>1.6473454407390999</v>
      </c>
      <c r="G911">
        <v>2.9937353667025199</v>
      </c>
      <c r="H911">
        <v>3.2479908878061101</v>
      </c>
      <c r="I911">
        <v>4.77194203632222</v>
      </c>
      <c r="J911">
        <v>3.3103841042840001</v>
      </c>
      <c r="K911">
        <v>4.3785990001898396</v>
      </c>
      <c r="L911">
        <v>1891.2508050952499</v>
      </c>
      <c r="M911">
        <v>40.140349392596598</v>
      </c>
      <c r="O911">
        <v>46.9994642849596</v>
      </c>
      <c r="P911">
        <v>0.106757677562254</v>
      </c>
      <c r="Q911">
        <v>1.5</v>
      </c>
      <c r="R911">
        <v>-0.50078513346832298</v>
      </c>
      <c r="S911" t="s">
        <v>2237</v>
      </c>
      <c r="T911" t="s">
        <v>2650</v>
      </c>
      <c r="U911" t="s">
        <v>2650</v>
      </c>
      <c r="V911" t="s">
        <v>2650</v>
      </c>
      <c r="W911" t="s">
        <v>3561</v>
      </c>
      <c r="X911">
        <v>2</v>
      </c>
      <c r="Y911" t="s">
        <v>4873</v>
      </c>
      <c r="Z911" t="s">
        <v>6191</v>
      </c>
      <c r="AA911">
        <v>1.3797727695543749</v>
      </c>
      <c r="AB911" t="str">
        <f>HYPERLINK("Melting_Curves/meltCurve_Q16706_MAN2A1.pdf", "Melting_Curves/meltCurve_Q16706_MAN2A1.pdf")</f>
        <v>Melting_Curves/meltCurve_Q16706_MAN2A1.pdf</v>
      </c>
    </row>
    <row r="912" spans="1:28" x14ac:dyDescent="0.25">
      <c r="A912" t="s">
        <v>916</v>
      </c>
      <c r="B912">
        <v>1</v>
      </c>
      <c r="C912">
        <v>0.97268039845584897</v>
      </c>
      <c r="D912">
        <v>1.18043894932916</v>
      </c>
      <c r="E912">
        <v>1.7808222876116899</v>
      </c>
      <c r="F912">
        <v>1.6370434360068</v>
      </c>
      <c r="G912">
        <v>2.4210242151013701</v>
      </c>
      <c r="H912">
        <v>2.2202305428826001</v>
      </c>
      <c r="I912">
        <v>4.7709418783575801</v>
      </c>
      <c r="J912">
        <v>4.1373538860243499</v>
      </c>
      <c r="K912">
        <v>6.4317144939664699</v>
      </c>
      <c r="L912">
        <v>11526.2915678261</v>
      </c>
      <c r="M912">
        <v>250</v>
      </c>
      <c r="O912">
        <v>46.102216047982601</v>
      </c>
      <c r="P912">
        <v>0.67784160615377897</v>
      </c>
      <c r="Q912">
        <v>1.5</v>
      </c>
      <c r="R912">
        <v>-0.41385310072139903</v>
      </c>
      <c r="S912" t="s">
        <v>2238</v>
      </c>
      <c r="T912" t="s">
        <v>2650</v>
      </c>
      <c r="U912" t="s">
        <v>2650</v>
      </c>
      <c r="V912" t="s">
        <v>2650</v>
      </c>
      <c r="W912" t="s">
        <v>3562</v>
      </c>
      <c r="X912">
        <v>2</v>
      </c>
      <c r="Y912" t="s">
        <v>4874</v>
      </c>
      <c r="Z912" t="s">
        <v>6192</v>
      </c>
      <c r="AA912">
        <v>1.398206771886968</v>
      </c>
      <c r="AB912" t="str">
        <f>HYPERLINK("Melting_Curves/meltCurve_Q16769_2_QPCT.pdf", "Melting_Curves/meltCurve_Q16769_2_QPCT.pdf")</f>
        <v>Melting_Curves/meltCurve_Q16769_2_QPCT.pdf</v>
      </c>
    </row>
    <row r="913" spans="1:28" x14ac:dyDescent="0.25">
      <c r="A913" t="s">
        <v>917</v>
      </c>
      <c r="B913">
        <v>1</v>
      </c>
      <c r="C913">
        <v>0.84235661260579697</v>
      </c>
      <c r="D913">
        <v>1.07295853231831</v>
      </c>
      <c r="E913">
        <v>1.17490188661402</v>
      </c>
      <c r="F913">
        <v>1.09300676154901</v>
      </c>
      <c r="G913">
        <v>1.1584944914653199</v>
      </c>
      <c r="H913">
        <v>1.2088041987800799</v>
      </c>
      <c r="I913">
        <v>1.5413967563478199</v>
      </c>
      <c r="J913">
        <v>1.09674216275001</v>
      </c>
      <c r="K913">
        <v>1.53321670055322</v>
      </c>
      <c r="L913">
        <v>551.90436433432706</v>
      </c>
      <c r="M913">
        <v>9.2387132731634303</v>
      </c>
      <c r="O913">
        <v>57.139402312016301</v>
      </c>
      <c r="P913">
        <v>2.0224206291632501E-2</v>
      </c>
      <c r="Q913">
        <v>1.5</v>
      </c>
      <c r="R913">
        <v>0.56635578696227695</v>
      </c>
      <c r="S913" t="s">
        <v>2239</v>
      </c>
      <c r="T913" t="s">
        <v>2650</v>
      </c>
      <c r="U913" t="s">
        <v>2650</v>
      </c>
      <c r="V913" t="s">
        <v>2650</v>
      </c>
      <c r="W913" t="s">
        <v>3563</v>
      </c>
      <c r="X913">
        <v>3</v>
      </c>
      <c r="Y913" t="s">
        <v>4875</v>
      </c>
      <c r="Z913" t="s">
        <v>6193</v>
      </c>
      <c r="AA913">
        <v>1.1736917201084041</v>
      </c>
      <c r="AB913" t="str">
        <f>HYPERLINK("Melting_Curves/meltCurve_Q16851_2_UGP2.pdf", "Melting_Curves/meltCurve_Q16851_2_UGP2.pdf")</f>
        <v>Melting_Curves/meltCurve_Q16851_2_UGP2.pdf</v>
      </c>
    </row>
    <row r="914" spans="1:28" x14ac:dyDescent="0.25">
      <c r="A914" t="s">
        <v>918</v>
      </c>
      <c r="B914">
        <v>1</v>
      </c>
      <c r="C914">
        <v>0.91910171227167703</v>
      </c>
      <c r="D914">
        <v>1.0737777142721101</v>
      </c>
      <c r="E914">
        <v>1.77009359148389</v>
      </c>
      <c r="F914">
        <v>1.5365197304184199</v>
      </c>
      <c r="G914">
        <v>1.99514181610345</v>
      </c>
      <c r="H914">
        <v>1.8267009597294701</v>
      </c>
      <c r="I914">
        <v>1.9043842728203699</v>
      </c>
      <c r="J914">
        <v>1.75220880664904</v>
      </c>
      <c r="K914">
        <v>2.0345788383225001</v>
      </c>
      <c r="L914">
        <v>11580.679583862</v>
      </c>
      <c r="M914">
        <v>250</v>
      </c>
      <c r="O914">
        <v>46.319754033967101</v>
      </c>
      <c r="P914">
        <v>0.67465816084072605</v>
      </c>
      <c r="Q914">
        <v>1.5</v>
      </c>
      <c r="R914">
        <v>0.42415858409810903</v>
      </c>
      <c r="S914" t="s">
        <v>2240</v>
      </c>
      <c r="T914" t="s">
        <v>2650</v>
      </c>
      <c r="U914" t="s">
        <v>2650</v>
      </c>
      <c r="V914" t="s">
        <v>2650</v>
      </c>
      <c r="W914" t="s">
        <v>3564</v>
      </c>
      <c r="X914">
        <v>1</v>
      </c>
      <c r="Y914" t="s">
        <v>4876</v>
      </c>
      <c r="Z914" t="s">
        <v>6194</v>
      </c>
      <c r="AA914">
        <v>1.394580713250998</v>
      </c>
      <c r="AB914" t="str">
        <f>HYPERLINK("Melting_Curves/meltCurve_Q16881_7_TXNRD1.pdf", "Melting_Curves/meltCurve_Q16881_7_TXNRD1.pdf")</f>
        <v>Melting_Curves/meltCurve_Q16881_7_TXNRD1.pdf</v>
      </c>
    </row>
    <row r="915" spans="1:28" x14ac:dyDescent="0.25">
      <c r="A915" t="s">
        <v>919</v>
      </c>
      <c r="B915">
        <v>1</v>
      </c>
      <c r="C915">
        <v>0.70079946383263902</v>
      </c>
      <c r="D915">
        <v>0.94011202068074096</v>
      </c>
      <c r="E915">
        <v>1.06309540906697</v>
      </c>
      <c r="F915">
        <v>0.77275120877016601</v>
      </c>
      <c r="G915">
        <v>0.78012350998132995</v>
      </c>
      <c r="H915">
        <v>0.77801713820671203</v>
      </c>
      <c r="I915">
        <v>0.83187323471683705</v>
      </c>
      <c r="J915">
        <v>0.44684762315094101</v>
      </c>
      <c r="K915">
        <v>0.66321987649001901</v>
      </c>
      <c r="L915">
        <v>264.24954282172001</v>
      </c>
      <c r="M915">
        <v>3.3044899281637701</v>
      </c>
      <c r="O915">
        <v>61.317741308439302</v>
      </c>
      <c r="P915">
        <v>-1.37861106966869E-2</v>
      </c>
      <c r="Q915">
        <v>0</v>
      </c>
      <c r="R915">
        <v>0.41509163492783702</v>
      </c>
      <c r="S915" t="s">
        <v>2241</v>
      </c>
      <c r="T915" t="s">
        <v>2650</v>
      </c>
      <c r="U915" t="s">
        <v>2650</v>
      </c>
      <c r="V915" t="s">
        <v>2650</v>
      </c>
      <c r="W915" t="s">
        <v>3565</v>
      </c>
      <c r="X915">
        <v>1</v>
      </c>
      <c r="Y915" t="s">
        <v>4877</v>
      </c>
      <c r="Z915" t="s">
        <v>6195</v>
      </c>
      <c r="AA915">
        <v>0.80829619073535952</v>
      </c>
      <c r="AB915" t="str">
        <f>HYPERLINK("Melting_Curves/meltCurve_Q16890_4_TPD52L1.pdf", "Melting_Curves/meltCurve_Q16890_4_TPD52L1.pdf")</f>
        <v>Melting_Curves/meltCurve_Q16890_4_TPD52L1.pdf</v>
      </c>
    </row>
    <row r="916" spans="1:28" x14ac:dyDescent="0.25">
      <c r="A916" t="s">
        <v>920</v>
      </c>
      <c r="B916">
        <v>1</v>
      </c>
      <c r="C916">
        <v>0.60613973182780501</v>
      </c>
      <c r="D916">
        <v>0.94820042342978095</v>
      </c>
      <c r="E916">
        <v>1.01767819336627</v>
      </c>
      <c r="F916">
        <v>0.55386379675370501</v>
      </c>
      <c r="G916">
        <v>0.89373676781933697</v>
      </c>
      <c r="H916">
        <v>0.81856033874382494</v>
      </c>
      <c r="I916">
        <v>0.83708539167254803</v>
      </c>
      <c r="J916">
        <v>0.47286520818630901</v>
      </c>
      <c r="K916">
        <v>0.69027875793930804</v>
      </c>
      <c r="L916">
        <v>144.85054611279199</v>
      </c>
      <c r="M916">
        <v>1.34979114674156</v>
      </c>
      <c r="O916">
        <v>48.648601521541401</v>
      </c>
      <c r="P916">
        <v>-8.3973232891411294E-3</v>
      </c>
      <c r="Q916">
        <v>0</v>
      </c>
      <c r="R916">
        <v>0.168231846604223</v>
      </c>
      <c r="S916" t="s">
        <v>2242</v>
      </c>
      <c r="T916" t="s">
        <v>2650</v>
      </c>
      <c r="U916" t="s">
        <v>2650</v>
      </c>
      <c r="V916" t="s">
        <v>2650</v>
      </c>
      <c r="W916" t="s">
        <v>3566</v>
      </c>
      <c r="X916">
        <v>1</v>
      </c>
      <c r="Y916" t="s">
        <v>4878</v>
      </c>
      <c r="Z916" t="s">
        <v>6196</v>
      </c>
      <c r="AA916">
        <v>0.78550851448728243</v>
      </c>
      <c r="AB916" t="str">
        <f>HYPERLINK("Melting_Curves/meltCurve_Q1W4C9_SPINK13.pdf", "Melting_Curves/meltCurve_Q1W4C9_SPINK13.pdf")</f>
        <v>Melting_Curves/meltCurve_Q1W4C9_SPINK13.pdf</v>
      </c>
    </row>
    <row r="917" spans="1:28" x14ac:dyDescent="0.25">
      <c r="A917" t="s">
        <v>921</v>
      </c>
      <c r="B917">
        <v>1</v>
      </c>
      <c r="C917">
        <v>0.979406058797194</v>
      </c>
      <c r="D917">
        <v>1.1600955081331099</v>
      </c>
      <c r="E917">
        <v>1.4121772869720901</v>
      </c>
      <c r="F917">
        <v>1.20570064169527</v>
      </c>
      <c r="G917">
        <v>1.2425011192359301</v>
      </c>
      <c r="H917">
        <v>1.06112520519325</v>
      </c>
      <c r="I917">
        <v>1.2751828085360399</v>
      </c>
      <c r="J917">
        <v>1.0102074317266101</v>
      </c>
      <c r="K917">
        <v>1.22939859722429</v>
      </c>
      <c r="L917">
        <v>11441.712149430101</v>
      </c>
      <c r="M917">
        <v>250</v>
      </c>
      <c r="O917">
        <v>45.763919810005497</v>
      </c>
      <c r="P917">
        <v>0.28022174568822</v>
      </c>
      <c r="Q917">
        <v>1.20518472779677</v>
      </c>
      <c r="R917">
        <v>0.39804688169200497</v>
      </c>
      <c r="S917" t="s">
        <v>2243</v>
      </c>
      <c r="T917" t="s">
        <v>2650</v>
      </c>
      <c r="U917" t="s">
        <v>2650</v>
      </c>
      <c r="V917" t="s">
        <v>2650</v>
      </c>
      <c r="W917" t="s">
        <v>3567</v>
      </c>
      <c r="X917">
        <v>7</v>
      </c>
      <c r="Y917" t="s">
        <v>4879</v>
      </c>
      <c r="Z917" t="s">
        <v>6197</v>
      </c>
      <c r="AA917">
        <v>1.165725938678529</v>
      </c>
      <c r="AB917" t="str">
        <f>HYPERLINK("Melting_Curves/meltCurve_Q24JP5_TMEM132A.pdf", "Melting_Curves/meltCurve_Q24JP5_TMEM132A.pdf")</f>
        <v>Melting_Curves/meltCurve_Q24JP5_TMEM132A.pdf</v>
      </c>
    </row>
    <row r="918" spans="1:28" x14ac:dyDescent="0.25">
      <c r="A918" t="s">
        <v>922</v>
      </c>
      <c r="B918">
        <v>1</v>
      </c>
      <c r="C918">
        <v>0.781463055094896</v>
      </c>
      <c r="D918">
        <v>0.99461686277606698</v>
      </c>
      <c r="E918">
        <v>1.0095290742056899</v>
      </c>
      <c r="F918">
        <v>0.85656374213588105</v>
      </c>
      <c r="G918">
        <v>0.84104609228987304</v>
      </c>
      <c r="H918">
        <v>0.84413909289531197</v>
      </c>
      <c r="I918">
        <v>0.84271762878728096</v>
      </c>
      <c r="J918">
        <v>0.60237173918765996</v>
      </c>
      <c r="K918">
        <v>0.76435283897970496</v>
      </c>
      <c r="L918">
        <v>255.706646999816</v>
      </c>
      <c r="M918">
        <v>2.7458408888894899</v>
      </c>
      <c r="O918">
        <v>65.827427128154596</v>
      </c>
      <c r="P918">
        <v>-1.08418583611381E-2</v>
      </c>
      <c r="Q918">
        <v>0</v>
      </c>
      <c r="R918">
        <v>0.47789979956525602</v>
      </c>
      <c r="S918" t="s">
        <v>2244</v>
      </c>
      <c r="T918" t="s">
        <v>2650</v>
      </c>
      <c r="U918" t="s">
        <v>2650</v>
      </c>
      <c r="V918" t="s">
        <v>2650</v>
      </c>
      <c r="W918" t="s">
        <v>3568</v>
      </c>
      <c r="X918">
        <v>3</v>
      </c>
      <c r="Y918" t="s">
        <v>4880</v>
      </c>
      <c r="Z918" t="s">
        <v>6198</v>
      </c>
      <c r="AA918">
        <v>0.86115388720085506</v>
      </c>
      <c r="AB918" t="str">
        <f>HYPERLINK("Melting_Curves/meltCurve_Q29963_HLA_C.pdf", "Melting_Curves/meltCurve_Q29963_HLA_C.pdf")</f>
        <v>Melting_Curves/meltCurve_Q29963_HLA_C.pdf</v>
      </c>
    </row>
    <row r="919" spans="1:28" x14ac:dyDescent="0.25">
      <c r="A919" t="s">
        <v>923</v>
      </c>
      <c r="B919">
        <v>1</v>
      </c>
      <c r="C919">
        <v>1.6381144924452</v>
      </c>
      <c r="D919">
        <v>2.9574377527133402</v>
      </c>
      <c r="E919">
        <v>3.7490246151663502</v>
      </c>
      <c r="F919">
        <v>2.9744626516280102</v>
      </c>
      <c r="G919">
        <v>3.35028729516918</v>
      </c>
      <c r="H919">
        <v>2.8007377456196401</v>
      </c>
      <c r="I919">
        <v>3.3563169468681302</v>
      </c>
      <c r="J919">
        <v>2.5539831169752398</v>
      </c>
      <c r="K919">
        <v>3.2900262467191599</v>
      </c>
      <c r="L919">
        <v>10248.899131177601</v>
      </c>
      <c r="M919">
        <v>250</v>
      </c>
      <c r="O919">
        <v>40.992974843669202</v>
      </c>
      <c r="P919">
        <v>0.76232577656485301</v>
      </c>
      <c r="Q919">
        <v>1.5</v>
      </c>
      <c r="R919">
        <v>-2.45099710172066</v>
      </c>
      <c r="S919" t="s">
        <v>2245</v>
      </c>
      <c r="T919" t="s">
        <v>2650</v>
      </c>
      <c r="U919" t="s">
        <v>2650</v>
      </c>
      <c r="V919" t="s">
        <v>2650</v>
      </c>
      <c r="W919" t="s">
        <v>3569</v>
      </c>
      <c r="X919">
        <v>1</v>
      </c>
      <c r="Y919" t="s">
        <v>4881</v>
      </c>
      <c r="Z919" t="s">
        <v>6199</v>
      </c>
      <c r="AA919">
        <v>1.483365633186809</v>
      </c>
      <c r="AB919" t="str">
        <f>HYPERLINK("Melting_Curves/meltCurve_Q2KJY2_2_KIF26B.pdf", "Melting_Curves/meltCurve_Q2KJY2_2_KIF26B.pdf")</f>
        <v>Melting_Curves/meltCurve_Q2KJY2_2_KIF26B.pdf</v>
      </c>
    </row>
    <row r="920" spans="1:28" x14ac:dyDescent="0.25">
      <c r="A920" t="s">
        <v>924</v>
      </c>
      <c r="B920">
        <v>1</v>
      </c>
      <c r="C920">
        <v>0.7572574317845</v>
      </c>
      <c r="D920">
        <v>1.1419666986313299</v>
      </c>
      <c r="E920">
        <v>1.20076715194839</v>
      </c>
      <c r="F920">
        <v>1.3825734460814201</v>
      </c>
      <c r="G920">
        <v>0.93522796617557302</v>
      </c>
      <c r="H920">
        <v>0.89817801412257003</v>
      </c>
      <c r="I920">
        <v>1.0507366402231699</v>
      </c>
      <c r="J920">
        <v>0.80402754772905605</v>
      </c>
      <c r="K920">
        <v>0.91195187865050997</v>
      </c>
      <c r="L920">
        <v>15000</v>
      </c>
      <c r="M920">
        <v>229.15714741421999</v>
      </c>
      <c r="O920">
        <v>65.4522791102507</v>
      </c>
      <c r="P920">
        <v>-0.124372453147872</v>
      </c>
      <c r="Q920">
        <v>0.85790605979958401</v>
      </c>
      <c r="R920">
        <v>0.120274990826006</v>
      </c>
      <c r="S920" t="s">
        <v>2246</v>
      </c>
      <c r="T920" t="s">
        <v>2650</v>
      </c>
      <c r="U920" t="s">
        <v>2650</v>
      </c>
      <c r="V920" t="s">
        <v>2650</v>
      </c>
      <c r="W920" t="s">
        <v>3570</v>
      </c>
      <c r="X920">
        <v>1</v>
      </c>
      <c r="Y920" t="s">
        <v>4882</v>
      </c>
      <c r="Z920" t="s">
        <v>6200</v>
      </c>
      <c r="AA920">
        <v>0.97850292147656226</v>
      </c>
      <c r="AB920" t="str">
        <f>HYPERLINK("Melting_Curves/meltCurve_Q2M2I8_2_AAK1.pdf", "Melting_Curves/meltCurve_Q2M2I8_2_AAK1.pdf")</f>
        <v>Melting_Curves/meltCurve_Q2M2I8_2_AAK1.pdf</v>
      </c>
    </row>
    <row r="921" spans="1:28" x14ac:dyDescent="0.25">
      <c r="A921" t="s">
        <v>925</v>
      </c>
      <c r="B921">
        <v>1</v>
      </c>
      <c r="C921">
        <v>0.76811881188118802</v>
      </c>
      <c r="D921">
        <v>1.17689768976898</v>
      </c>
      <c r="E921">
        <v>1.20851485148515</v>
      </c>
      <c r="F921">
        <v>1.1373597359736001</v>
      </c>
      <c r="G921">
        <v>1.0377887788778899</v>
      </c>
      <c r="H921">
        <v>1.0047194719471899</v>
      </c>
      <c r="I921">
        <v>1.27679867986799</v>
      </c>
      <c r="J921">
        <v>0.77887788778877898</v>
      </c>
      <c r="K921">
        <v>0.85359735973597395</v>
      </c>
      <c r="L921">
        <v>2373.9145186364199</v>
      </c>
      <c r="M921">
        <v>34.7231941799362</v>
      </c>
      <c r="O921">
        <v>68.141258591924895</v>
      </c>
      <c r="P921">
        <v>-3.0136036746970799E-2</v>
      </c>
      <c r="Q921">
        <v>0.76344342210348104</v>
      </c>
      <c r="R921">
        <v>0.110348971317404</v>
      </c>
      <c r="S921" t="s">
        <v>2247</v>
      </c>
      <c r="T921" t="s">
        <v>2650</v>
      </c>
      <c r="U921" t="s">
        <v>2650</v>
      </c>
      <c r="V921" t="s">
        <v>2650</v>
      </c>
      <c r="W921" t="s">
        <v>3571</v>
      </c>
      <c r="X921">
        <v>1</v>
      </c>
      <c r="Y921" t="s">
        <v>4883</v>
      </c>
      <c r="Z921" t="s">
        <v>6201</v>
      </c>
      <c r="AA921">
        <v>0.98219320303691504</v>
      </c>
      <c r="AB921" t="str">
        <f>HYPERLINK("Melting_Curves/meltCurve_Q3YEC7_RABL6.pdf", "Melting_Curves/meltCurve_Q3YEC7_RABL6.pdf")</f>
        <v>Melting_Curves/meltCurve_Q3YEC7_RABL6.pdf</v>
      </c>
    </row>
    <row r="922" spans="1:28" x14ac:dyDescent="0.25">
      <c r="A922" t="s">
        <v>926</v>
      </c>
      <c r="B922">
        <v>1</v>
      </c>
      <c r="C922">
        <v>0.89531907867580296</v>
      </c>
      <c r="D922">
        <v>1.2053166019978501</v>
      </c>
      <c r="E922">
        <v>1.32345414017997</v>
      </c>
      <c r="F922">
        <v>1.0265004540576199</v>
      </c>
      <c r="G922">
        <v>1.02864690828036</v>
      </c>
      <c r="H922">
        <v>1.0052835796252</v>
      </c>
      <c r="I922">
        <v>1.0842896062082099</v>
      </c>
      <c r="J922">
        <v>0.770684388673326</v>
      </c>
      <c r="K922">
        <v>0.974902996780319</v>
      </c>
      <c r="L922">
        <v>11767.444036773701</v>
      </c>
      <c r="M922">
        <v>179.840056496009</v>
      </c>
      <c r="O922">
        <v>65.424741098904207</v>
      </c>
      <c r="P922">
        <v>-8.7266610963087493E-2</v>
      </c>
      <c r="Q922">
        <v>0.87301170971956099</v>
      </c>
      <c r="R922">
        <v>0.10353346812886099</v>
      </c>
      <c r="S922" t="s">
        <v>2248</v>
      </c>
      <c r="T922" t="s">
        <v>2650</v>
      </c>
      <c r="U922" t="s">
        <v>2650</v>
      </c>
      <c r="V922" t="s">
        <v>2650</v>
      </c>
      <c r="W922" t="s">
        <v>3572</v>
      </c>
      <c r="X922">
        <v>2</v>
      </c>
      <c r="Y922" t="s">
        <v>4884</v>
      </c>
      <c r="Z922" t="s">
        <v>6202</v>
      </c>
      <c r="AA922">
        <v>0.98069560565064906</v>
      </c>
      <c r="AB922" t="str">
        <f>HYPERLINK("Melting_Curves/meltCurve_Q495W5_2_FUT11.pdf", "Melting_Curves/meltCurve_Q495W5_2_FUT11.pdf")</f>
        <v>Melting_Curves/meltCurve_Q495W5_2_FUT11.pdf</v>
      </c>
    </row>
    <row r="923" spans="1:28" x14ac:dyDescent="0.25">
      <c r="A923" t="s">
        <v>927</v>
      </c>
      <c r="B923">
        <v>1</v>
      </c>
      <c r="C923">
        <v>1.3571918330032</v>
      </c>
      <c r="D923">
        <v>1.96004113972269</v>
      </c>
      <c r="E923">
        <v>2.5539006551881802</v>
      </c>
      <c r="F923">
        <v>2.4302910254456802</v>
      </c>
      <c r="G923">
        <v>2.8091193051957899</v>
      </c>
      <c r="H923">
        <v>2.3634389760780099</v>
      </c>
      <c r="I923">
        <v>3.0734801158007001</v>
      </c>
      <c r="J923">
        <v>2.5921834526893202</v>
      </c>
      <c r="K923">
        <v>2.6182767027274099</v>
      </c>
      <c r="L923">
        <v>10685.670516902899</v>
      </c>
      <c r="M923">
        <v>250</v>
      </c>
      <c r="O923">
        <v>42.739944888769401</v>
      </c>
      <c r="P923">
        <v>0.73116609544754596</v>
      </c>
      <c r="Q923">
        <v>1.5</v>
      </c>
      <c r="R923">
        <v>-1.5054548817077</v>
      </c>
      <c r="S923" t="s">
        <v>2249</v>
      </c>
      <c r="T923" t="s">
        <v>2650</v>
      </c>
      <c r="U923" t="s">
        <v>2650</v>
      </c>
      <c r="V923" t="s">
        <v>2650</v>
      </c>
      <c r="W923" t="s">
        <v>3573</v>
      </c>
      <c r="X923">
        <v>2</v>
      </c>
      <c r="Y923" t="s">
        <v>4885</v>
      </c>
      <c r="Z923" t="s">
        <v>6203</v>
      </c>
      <c r="AA923">
        <v>1.4542511257465749</v>
      </c>
      <c r="AB923" t="str">
        <f>HYPERLINK("Melting_Curves/meltCurve_Q53FA7_TP53I3.pdf", "Melting_Curves/meltCurve_Q53FA7_TP53I3.pdf")</f>
        <v>Melting_Curves/meltCurve_Q53FA7_TP53I3.pdf</v>
      </c>
    </row>
    <row r="924" spans="1:28" x14ac:dyDescent="0.25">
      <c r="A924" t="s">
        <v>928</v>
      </c>
      <c r="B924">
        <v>1</v>
      </c>
      <c r="C924">
        <v>0.91053441522104095</v>
      </c>
      <c r="D924">
        <v>1.3742305540011199</v>
      </c>
      <c r="E924">
        <v>1.9832120872971499</v>
      </c>
      <c r="F924">
        <v>1.70565193060996</v>
      </c>
      <c r="G924">
        <v>2.0249720201454999</v>
      </c>
      <c r="H924">
        <v>2.0181869054280899</v>
      </c>
      <c r="I924">
        <v>3.28952154448797</v>
      </c>
      <c r="J924">
        <v>2.3094571908226098</v>
      </c>
      <c r="K924">
        <v>3.2497901510912102</v>
      </c>
      <c r="L924">
        <v>11449.8406157846</v>
      </c>
      <c r="M924">
        <v>250</v>
      </c>
      <c r="O924">
        <v>45.796431381924101</v>
      </c>
      <c r="P924">
        <v>0.68236757624032296</v>
      </c>
      <c r="Q924">
        <v>1.5</v>
      </c>
      <c r="R924">
        <v>-0.29440647025838401</v>
      </c>
      <c r="S924" t="s">
        <v>2250</v>
      </c>
      <c r="T924" t="s">
        <v>2650</v>
      </c>
      <c r="U924" t="s">
        <v>2650</v>
      </c>
      <c r="V924" t="s">
        <v>2650</v>
      </c>
      <c r="W924" t="s">
        <v>3574</v>
      </c>
      <c r="X924">
        <v>9</v>
      </c>
      <c r="Y924" t="s">
        <v>4886</v>
      </c>
      <c r="Z924" t="s">
        <v>6204</v>
      </c>
      <c r="AA924">
        <v>1.40330377036353</v>
      </c>
      <c r="AB924" t="str">
        <f>HYPERLINK("Melting_Curves/meltCurve_Q53H76_4_PLA1A.pdf", "Melting_Curves/meltCurve_Q53H76_4_PLA1A.pdf")</f>
        <v>Melting_Curves/meltCurve_Q53H76_4_PLA1A.pdf</v>
      </c>
    </row>
    <row r="925" spans="1:28" x14ac:dyDescent="0.25">
      <c r="A925" t="s">
        <v>929</v>
      </c>
      <c r="B925">
        <v>1</v>
      </c>
      <c r="C925">
        <v>0.74665793312888895</v>
      </c>
      <c r="D925">
        <v>1.2174055438115901</v>
      </c>
      <c r="E925">
        <v>1.48765891565189</v>
      </c>
      <c r="F925">
        <v>1.0727067019978</v>
      </c>
      <c r="G925">
        <v>1.09846071396671</v>
      </c>
      <c r="H925">
        <v>1.01161163545419</v>
      </c>
      <c r="I925">
        <v>1.26849673981005</v>
      </c>
      <c r="J925">
        <v>0.77789025515824595</v>
      </c>
      <c r="K925">
        <v>1.0964956679667699</v>
      </c>
      <c r="L925">
        <v>11123.9143408155</v>
      </c>
      <c r="M925">
        <v>250</v>
      </c>
      <c r="O925">
        <v>44.492810126791802</v>
      </c>
      <c r="P925">
        <v>0.18098831891044101</v>
      </c>
      <c r="Q925">
        <v>1.12884286183264</v>
      </c>
      <c r="R925">
        <v>0.16645619482704799</v>
      </c>
      <c r="S925" t="s">
        <v>2251</v>
      </c>
      <c r="T925" t="s">
        <v>2650</v>
      </c>
      <c r="U925" t="s">
        <v>2650</v>
      </c>
      <c r="V925" t="s">
        <v>2650</v>
      </c>
      <c r="W925" t="s">
        <v>3575</v>
      </c>
      <c r="X925">
        <v>2</v>
      </c>
      <c r="Y925" t="s">
        <v>4887</v>
      </c>
      <c r="Z925" t="s">
        <v>6205</v>
      </c>
      <c r="AA925">
        <v>1.109525021915027</v>
      </c>
      <c r="AB925" t="str">
        <f>HYPERLINK("Melting_Curves/meltCurve_Q53RD9_4_FBLN7.pdf", "Melting_Curves/meltCurve_Q53RD9_4_FBLN7.pdf")</f>
        <v>Melting_Curves/meltCurve_Q53RD9_4_FBLN7.pdf</v>
      </c>
    </row>
    <row r="926" spans="1:28" x14ac:dyDescent="0.25">
      <c r="A926" t="s">
        <v>930</v>
      </c>
      <c r="B926">
        <v>1</v>
      </c>
      <c r="C926">
        <v>0.52104046717085395</v>
      </c>
      <c r="D926">
        <v>1.28218979499733</v>
      </c>
      <c r="E926">
        <v>1.6598514790552601</v>
      </c>
      <c r="F926">
        <v>1.4362495042463901</v>
      </c>
      <c r="G926">
        <v>1.27961871418608</v>
      </c>
      <c r="H926">
        <v>1.5806676604532199</v>
      </c>
      <c r="I926">
        <v>2.0455136007439698</v>
      </c>
      <c r="J926">
        <v>1.2272671325611</v>
      </c>
      <c r="K926">
        <v>2.02062335033711</v>
      </c>
      <c r="L926">
        <v>11488.088046995499</v>
      </c>
      <c r="M926">
        <v>250</v>
      </c>
      <c r="O926">
        <v>45.949411940401298</v>
      </c>
      <c r="P926">
        <v>0.68009576157180995</v>
      </c>
      <c r="Q926">
        <v>1.5</v>
      </c>
      <c r="R926">
        <v>0.49461753388584501</v>
      </c>
      <c r="S926" t="s">
        <v>2252</v>
      </c>
      <c r="T926" t="s">
        <v>2650</v>
      </c>
      <c r="U926" t="s">
        <v>2650</v>
      </c>
      <c r="V926" t="s">
        <v>2650</v>
      </c>
      <c r="W926" t="s">
        <v>3576</v>
      </c>
      <c r="X926">
        <v>1</v>
      </c>
      <c r="Y926" t="s">
        <v>4888</v>
      </c>
      <c r="Z926" t="s">
        <v>6206</v>
      </c>
      <c r="AA926">
        <v>1.400753807368843</v>
      </c>
      <c r="AB926" t="str">
        <f>HYPERLINK("Melting_Curves/meltCurve_Q53T59_HS1BP3.pdf", "Melting_Curves/meltCurve_Q53T59_HS1BP3.pdf")</f>
        <v>Melting_Curves/meltCurve_Q53T59_HS1BP3.pdf</v>
      </c>
    </row>
    <row r="927" spans="1:28" x14ac:dyDescent="0.25">
      <c r="A927" t="s">
        <v>931</v>
      </c>
      <c r="B927">
        <v>1</v>
      </c>
      <c r="C927">
        <v>0.79547631718999501</v>
      </c>
      <c r="D927">
        <v>1.32980308674827</v>
      </c>
      <c r="E927">
        <v>1.25893205605819</v>
      </c>
      <c r="F927">
        <v>1.00204009224765</v>
      </c>
      <c r="G927">
        <v>1.26650700727337</v>
      </c>
      <c r="H927">
        <v>1.1267340784105</v>
      </c>
      <c r="I927">
        <v>1.3819584885577401</v>
      </c>
      <c r="J927">
        <v>0.82710661699485499</v>
      </c>
      <c r="K927">
        <v>1.2411921234699299</v>
      </c>
      <c r="L927">
        <v>11107.253724137699</v>
      </c>
      <c r="M927">
        <v>250</v>
      </c>
      <c r="O927">
        <v>44.426171740346199</v>
      </c>
      <c r="P927">
        <v>0.25221822976216002</v>
      </c>
      <c r="Q927">
        <v>1.1792814460287699</v>
      </c>
      <c r="R927">
        <v>0.27329711638309701</v>
      </c>
      <c r="S927" t="s">
        <v>2253</v>
      </c>
      <c r="T927" t="s">
        <v>2650</v>
      </c>
      <c r="U927" t="s">
        <v>2650</v>
      </c>
      <c r="V927" t="s">
        <v>2650</v>
      </c>
      <c r="W927" t="s">
        <v>3577</v>
      </c>
      <c r="X927">
        <v>2</v>
      </c>
      <c r="Y927" t="s">
        <v>4889</v>
      </c>
      <c r="Z927" t="s">
        <v>6207</v>
      </c>
      <c r="AA927">
        <v>1.1527994605501299</v>
      </c>
      <c r="AB927" t="str">
        <f>HYPERLINK("Melting_Curves/meltCurve_Q58EX2_2_SDK2.pdf", "Melting_Curves/meltCurve_Q58EX2_2_SDK2.pdf")</f>
        <v>Melting_Curves/meltCurve_Q58EX2_2_SDK2.pdf</v>
      </c>
    </row>
    <row r="928" spans="1:28" x14ac:dyDescent="0.25">
      <c r="A928" t="s">
        <v>932</v>
      </c>
      <c r="B928">
        <v>1</v>
      </c>
      <c r="C928">
        <v>0.88559587017031904</v>
      </c>
      <c r="D928">
        <v>1.29756109523868</v>
      </c>
      <c r="E928">
        <v>1.6151459786887099</v>
      </c>
      <c r="F928">
        <v>2.0235920199134299</v>
      </c>
      <c r="G928">
        <v>1.52403958162177</v>
      </c>
      <c r="H928">
        <v>1.5326229568501499</v>
      </c>
      <c r="I928">
        <v>1.83549348276581</v>
      </c>
      <c r="J928">
        <v>1.55310043775214</v>
      </c>
      <c r="K928">
        <v>2.1583510109989801</v>
      </c>
      <c r="L928">
        <v>11482.281658162001</v>
      </c>
      <c r="M928">
        <v>250</v>
      </c>
      <c r="O928">
        <v>45.926188175294001</v>
      </c>
      <c r="P928">
        <v>0.68043967409147998</v>
      </c>
      <c r="Q928">
        <v>1.5</v>
      </c>
      <c r="R928">
        <v>0.42821662891180101</v>
      </c>
      <c r="S928" t="s">
        <v>2254</v>
      </c>
      <c r="T928" t="s">
        <v>2650</v>
      </c>
      <c r="U928" t="s">
        <v>2650</v>
      </c>
      <c r="V928" t="s">
        <v>2650</v>
      </c>
      <c r="W928" t="s">
        <v>3578</v>
      </c>
      <c r="X928">
        <v>1</v>
      </c>
      <c r="Y928" t="s">
        <v>4890</v>
      </c>
      <c r="Z928" t="s">
        <v>6208</v>
      </c>
      <c r="AA928">
        <v>1.401140920337987</v>
      </c>
      <c r="AB928" t="str">
        <f>HYPERLINK("Melting_Curves/meltCurve_Q5GFL6_3_VWA2.pdf", "Melting_Curves/meltCurve_Q5GFL6_3_VWA2.pdf")</f>
        <v>Melting_Curves/meltCurve_Q5GFL6_3_VWA2.pdf</v>
      </c>
    </row>
    <row r="929" spans="1:28" x14ac:dyDescent="0.25">
      <c r="A929" t="s">
        <v>933</v>
      </c>
      <c r="B929">
        <v>1</v>
      </c>
      <c r="C929">
        <v>0.793077673058174</v>
      </c>
      <c r="D929">
        <v>1.12300942476438</v>
      </c>
      <c r="E929">
        <v>1.4118459538511501</v>
      </c>
      <c r="F929">
        <v>1.29387390315242</v>
      </c>
      <c r="G929">
        <v>1.9506824829379299</v>
      </c>
      <c r="H929">
        <v>2.6668833279167998</v>
      </c>
      <c r="I929">
        <v>4.4770880727981801</v>
      </c>
      <c r="J929">
        <v>3.5316054598635001</v>
      </c>
      <c r="K929">
        <v>4.8362853428664296</v>
      </c>
      <c r="L929">
        <v>1763.4188753277999</v>
      </c>
      <c r="M929">
        <v>36.750061092812203</v>
      </c>
      <c r="O929">
        <v>47.842673170304998</v>
      </c>
      <c r="P929">
        <v>9.6018242902889406E-2</v>
      </c>
      <c r="Q929">
        <v>1.5</v>
      </c>
      <c r="R929">
        <v>-0.28265505305918898</v>
      </c>
      <c r="S929" t="s">
        <v>2255</v>
      </c>
      <c r="T929" t="s">
        <v>2650</v>
      </c>
      <c r="U929" t="s">
        <v>2650</v>
      </c>
      <c r="V929" t="s">
        <v>2650</v>
      </c>
      <c r="W929" t="s">
        <v>3579</v>
      </c>
      <c r="X929">
        <v>9</v>
      </c>
      <c r="Y929" t="s">
        <v>4891</v>
      </c>
      <c r="Z929" t="s">
        <v>6209</v>
      </c>
      <c r="AA929">
        <v>1.3649540898985779</v>
      </c>
      <c r="AB929" t="str">
        <f>HYPERLINK("Melting_Curves/meltCurve_Q5IS74_TPP1.pdf", "Melting_Curves/meltCurve_Q5IS74_TPP1.pdf")</f>
        <v>Melting_Curves/meltCurve_Q5IS74_TPP1.pdf</v>
      </c>
    </row>
    <row r="930" spans="1:28" x14ac:dyDescent="0.25">
      <c r="A930" t="s">
        <v>934</v>
      </c>
      <c r="B930">
        <v>1</v>
      </c>
      <c r="C930">
        <v>0.73222809192981297</v>
      </c>
      <c r="D930">
        <v>1.07225968643305</v>
      </c>
      <c r="E930">
        <v>1.22427001409862</v>
      </c>
      <c r="F930">
        <v>0.88795841755703098</v>
      </c>
      <c r="G930">
        <v>0.94426797574357502</v>
      </c>
      <c r="H930">
        <v>0.891882251023424</v>
      </c>
      <c r="I930">
        <v>0.957806050517233</v>
      </c>
      <c r="J930">
        <v>0.61135363761444494</v>
      </c>
      <c r="K930">
        <v>0.88293047510658895</v>
      </c>
      <c r="L930">
        <v>1262.7258621121</v>
      </c>
      <c r="M930">
        <v>20.406284098054499</v>
      </c>
      <c r="O930">
        <v>61.294212167000303</v>
      </c>
      <c r="P930">
        <v>-1.9710764287587199E-2</v>
      </c>
      <c r="Q930">
        <v>0.76318678669224205</v>
      </c>
      <c r="R930">
        <v>0.22538414306135299</v>
      </c>
      <c r="S930" t="s">
        <v>2256</v>
      </c>
      <c r="T930" t="s">
        <v>2650</v>
      </c>
      <c r="U930" t="s">
        <v>2650</v>
      </c>
      <c r="V930" t="s">
        <v>2650</v>
      </c>
      <c r="W930" t="s">
        <v>3580</v>
      </c>
      <c r="X930">
        <v>10</v>
      </c>
      <c r="Y930" t="s">
        <v>4892</v>
      </c>
      <c r="Z930" t="s">
        <v>6210</v>
      </c>
      <c r="AA930">
        <v>0.9367706073550579</v>
      </c>
      <c r="AB930" t="str">
        <f>HYPERLINK("Melting_Curves/meltCurve_Q5IS80_APP.pdf", "Melting_Curves/meltCurve_Q5IS80_APP.pdf")</f>
        <v>Melting_Curves/meltCurve_Q5IS80_APP.pdf</v>
      </c>
    </row>
    <row r="931" spans="1:28" x14ac:dyDescent="0.25">
      <c r="A931" t="s">
        <v>935</v>
      </c>
      <c r="B931">
        <v>1</v>
      </c>
      <c r="C931">
        <v>0.808370895041854</v>
      </c>
      <c r="D931">
        <v>1.1553444945267199</v>
      </c>
      <c r="E931">
        <v>1.4829362524146801</v>
      </c>
      <c r="F931">
        <v>1.34896973599485</v>
      </c>
      <c r="G931">
        <v>1.4515775917578899</v>
      </c>
      <c r="H931">
        <v>1.3448486799742401</v>
      </c>
      <c r="I931">
        <v>1.63599484867997</v>
      </c>
      <c r="J931">
        <v>1.1489697359948501</v>
      </c>
      <c r="K931">
        <v>1.62195750160979</v>
      </c>
      <c r="L931">
        <v>11526.8144370481</v>
      </c>
      <c r="M931">
        <v>250</v>
      </c>
      <c r="O931">
        <v>46.104307545546703</v>
      </c>
      <c r="P931">
        <v>0.58780810185550603</v>
      </c>
      <c r="Q931">
        <v>1.43360776423509</v>
      </c>
      <c r="R931">
        <v>0.67530105849528899</v>
      </c>
      <c r="S931" t="s">
        <v>2257</v>
      </c>
      <c r="T931" t="s">
        <v>2650</v>
      </c>
      <c r="U931" t="s">
        <v>2650</v>
      </c>
      <c r="V931" t="s">
        <v>2650</v>
      </c>
      <c r="W931" t="s">
        <v>3581</v>
      </c>
      <c r="X931">
        <v>3</v>
      </c>
      <c r="Y931" t="s">
        <v>4893</v>
      </c>
      <c r="Z931" t="s">
        <v>6211</v>
      </c>
      <c r="AA931">
        <v>1.3453008651768881</v>
      </c>
      <c r="AB931" t="str">
        <f>HYPERLINK("Melting_Curves/meltCurve_Q5JPE7_3_NOMO2.pdf", "Melting_Curves/meltCurve_Q5JPE7_3_NOMO2.pdf")</f>
        <v>Melting_Curves/meltCurve_Q5JPE7_3_NOMO2.pdf</v>
      </c>
    </row>
    <row r="932" spans="1:28" x14ac:dyDescent="0.25">
      <c r="A932" t="s">
        <v>936</v>
      </c>
      <c r="B932">
        <v>1</v>
      </c>
      <c r="C932">
        <v>0.88769152099392101</v>
      </c>
      <c r="D932">
        <v>1.07325618832977</v>
      </c>
      <c r="E932">
        <v>1.2237647014261099</v>
      </c>
      <c r="F932">
        <v>0.99659097365580196</v>
      </c>
      <c r="G932">
        <v>1.1170811158879601</v>
      </c>
      <c r="H932">
        <v>0.941023844245374</v>
      </c>
      <c r="I932">
        <v>1.08753622090491</v>
      </c>
      <c r="J932">
        <v>0.76722031779701105</v>
      </c>
      <c r="K932">
        <v>0.98702676085680197</v>
      </c>
      <c r="L932">
        <v>2021.4715545515901</v>
      </c>
      <c r="M932">
        <v>31.0209954353274</v>
      </c>
      <c r="O932">
        <v>64.895602919161803</v>
      </c>
      <c r="P932">
        <v>-1.2294972685346199E-2</v>
      </c>
      <c r="Q932">
        <v>0.89711673851877205</v>
      </c>
      <c r="R932">
        <v>9.9493952224019494E-2</v>
      </c>
      <c r="S932" t="s">
        <v>2258</v>
      </c>
      <c r="T932" t="s">
        <v>2650</v>
      </c>
      <c r="U932" t="s">
        <v>2650</v>
      </c>
      <c r="V932" t="s">
        <v>2650</v>
      </c>
      <c r="W932" t="s">
        <v>3582</v>
      </c>
      <c r="X932">
        <v>2</v>
      </c>
      <c r="Y932" t="s">
        <v>4894</v>
      </c>
      <c r="Z932" t="s">
        <v>6212</v>
      </c>
      <c r="AA932">
        <v>0.98319678113381659</v>
      </c>
      <c r="AB932" t="str">
        <f>HYPERLINK("Melting_Curves/meltCurve_Q5JRA6_2_MIA3.pdf", "Melting_Curves/meltCurve_Q5JRA6_2_MIA3.pdf")</f>
        <v>Melting_Curves/meltCurve_Q5JRA6_2_MIA3.pdf</v>
      </c>
    </row>
    <row r="933" spans="1:28" x14ac:dyDescent="0.25">
      <c r="A933" t="s">
        <v>937</v>
      </c>
      <c r="B933">
        <v>1</v>
      </c>
      <c r="C933">
        <v>0.93991717320152302</v>
      </c>
      <c r="D933">
        <v>1.5293567563957</v>
      </c>
      <c r="E933">
        <v>1.5186026317547301</v>
      </c>
      <c r="F933">
        <v>1.4428227907287401</v>
      </c>
      <c r="G933">
        <v>1.4298644045154001</v>
      </c>
      <c r="H933">
        <v>1.5654932870215701</v>
      </c>
      <c r="I933">
        <v>1.9264912163516099</v>
      </c>
      <c r="J933">
        <v>1.24096586734353</v>
      </c>
      <c r="K933">
        <v>1.5873689132322499</v>
      </c>
      <c r="L933">
        <v>11116.3349712995</v>
      </c>
      <c r="M933">
        <v>250</v>
      </c>
      <c r="O933">
        <v>44.462487820087397</v>
      </c>
      <c r="P933">
        <v>0.702839560594963</v>
      </c>
      <c r="Q933">
        <v>1.5</v>
      </c>
      <c r="R933">
        <v>0.64280572211298903</v>
      </c>
      <c r="S933" t="s">
        <v>2259</v>
      </c>
      <c r="T933" t="s">
        <v>2650</v>
      </c>
      <c r="U933" t="s">
        <v>2650</v>
      </c>
      <c r="V933" t="s">
        <v>2650</v>
      </c>
      <c r="W933" t="s">
        <v>3583</v>
      </c>
      <c r="X933">
        <v>1</v>
      </c>
      <c r="Y933" t="s">
        <v>4895</v>
      </c>
      <c r="Z933" t="s">
        <v>6213</v>
      </c>
      <c r="AA933">
        <v>1.4255386505902989</v>
      </c>
      <c r="AB933" t="str">
        <f>HYPERLINK("Melting_Curves/meltCurve_Q5JS37_2_NHLRC3.pdf", "Melting_Curves/meltCurve_Q5JS37_2_NHLRC3.pdf")</f>
        <v>Melting_Curves/meltCurve_Q5JS37_2_NHLRC3.pdf</v>
      </c>
    </row>
    <row r="934" spans="1:28" x14ac:dyDescent="0.25">
      <c r="A934" t="s">
        <v>938</v>
      </c>
      <c r="B934">
        <v>1</v>
      </c>
      <c r="C934">
        <v>0.74257272937726704</v>
      </c>
      <c r="D934">
        <v>1.0870823366000499</v>
      </c>
      <c r="E934">
        <v>1.29222933868354</v>
      </c>
      <c r="F934">
        <v>0.89570954548962101</v>
      </c>
      <c r="G934">
        <v>0.98819353345165495</v>
      </c>
      <c r="H934">
        <v>0.84732618257581604</v>
      </c>
      <c r="I934">
        <v>0.94644648506829199</v>
      </c>
      <c r="J934">
        <v>0.69148854078246802</v>
      </c>
      <c r="K934">
        <v>0.92024847596265102</v>
      </c>
      <c r="L934">
        <v>2167.4199180118499</v>
      </c>
      <c r="M934">
        <v>36.672589126605402</v>
      </c>
      <c r="O934">
        <v>58.926997324013001</v>
      </c>
      <c r="P934">
        <v>-2.4802758646366E-2</v>
      </c>
      <c r="Q934">
        <v>0.84058419224351499</v>
      </c>
      <c r="R934">
        <v>0.20361627404459001</v>
      </c>
      <c r="S934" t="s">
        <v>2260</v>
      </c>
      <c r="T934" t="s">
        <v>2650</v>
      </c>
      <c r="U934" t="s">
        <v>2650</v>
      </c>
      <c r="V934" t="s">
        <v>2650</v>
      </c>
      <c r="W934" t="s">
        <v>3584</v>
      </c>
      <c r="X934">
        <v>9</v>
      </c>
      <c r="Y934" t="s">
        <v>4896</v>
      </c>
      <c r="Z934" t="s">
        <v>6214</v>
      </c>
      <c r="AA934">
        <v>0.94282278434559574</v>
      </c>
      <c r="AB934" t="str">
        <f>HYPERLINK("Melting_Curves/meltCurve_Q5KU26_COLEC12.pdf", "Melting_Curves/meltCurve_Q5KU26_COLEC12.pdf")</f>
        <v>Melting_Curves/meltCurve_Q5KU26_COLEC12.pdf</v>
      </c>
    </row>
    <row r="935" spans="1:28" x14ac:dyDescent="0.25">
      <c r="A935" t="s">
        <v>939</v>
      </c>
      <c r="B935">
        <v>1</v>
      </c>
      <c r="C935">
        <v>1.13750471666704</v>
      </c>
      <c r="D935">
        <v>1.2911015914589501</v>
      </c>
      <c r="E935">
        <v>1.6419106385812301</v>
      </c>
      <c r="F935">
        <v>1.35999822431359</v>
      </c>
      <c r="G935">
        <v>1.2606929616229801</v>
      </c>
      <c r="H935">
        <v>1.5332386300579299</v>
      </c>
      <c r="I935">
        <v>1.7810800612611799</v>
      </c>
      <c r="J935">
        <v>1.1197034603689</v>
      </c>
      <c r="K935">
        <v>1.39597807027279</v>
      </c>
      <c r="L935">
        <v>1476.90236954289</v>
      </c>
      <c r="M935">
        <v>33.358625751281203</v>
      </c>
      <c r="O935">
        <v>44.115263285698298</v>
      </c>
      <c r="P935">
        <v>8.2841066608945399E-2</v>
      </c>
      <c r="Q935">
        <v>1.4382124610554901</v>
      </c>
      <c r="R935">
        <v>0.41407732159910798</v>
      </c>
      <c r="S935" t="s">
        <v>2261</v>
      </c>
      <c r="T935" t="s">
        <v>2650</v>
      </c>
      <c r="U935" t="s">
        <v>2650</v>
      </c>
      <c r="V935" t="s">
        <v>2650</v>
      </c>
      <c r="W935" t="s">
        <v>3585</v>
      </c>
      <c r="X935">
        <v>2</v>
      </c>
      <c r="Y935" t="s">
        <v>4897</v>
      </c>
      <c r="Z935" t="s">
        <v>6215</v>
      </c>
      <c r="AA935">
        <v>1.3734336178240609</v>
      </c>
      <c r="AB935" t="str">
        <f>HYPERLINK("Melting_Curves/meltCurve_Q5SRE7_2_PHYHD1.pdf", "Melting_Curves/meltCurve_Q5SRE7_2_PHYHD1.pdf")</f>
        <v>Melting_Curves/meltCurve_Q5SRE7_2_PHYHD1.pdf</v>
      </c>
    </row>
    <row r="936" spans="1:28" x14ac:dyDescent="0.25">
      <c r="A936" t="s">
        <v>940</v>
      </c>
      <c r="B936">
        <v>1</v>
      </c>
      <c r="C936">
        <v>0.67813056967456598</v>
      </c>
      <c r="D936">
        <v>2.0795432041718902</v>
      </c>
      <c r="E936">
        <v>2.0684533632583002</v>
      </c>
      <c r="F936">
        <v>1.5278236187207099</v>
      </c>
      <c r="G936">
        <v>1.2903822034457699</v>
      </c>
      <c r="H936">
        <v>1.4653772526239399</v>
      </c>
      <c r="I936">
        <v>1.4621427156908</v>
      </c>
      <c r="J936">
        <v>1.1964486104693399</v>
      </c>
      <c r="K936">
        <v>1.2177701498448701</v>
      </c>
      <c r="L936">
        <v>11087.2989558306</v>
      </c>
      <c r="M936">
        <v>250</v>
      </c>
      <c r="O936">
        <v>44.3463584353808</v>
      </c>
      <c r="P936">
        <v>0.70468019491785905</v>
      </c>
      <c r="Q936">
        <v>1.5</v>
      </c>
      <c r="R936">
        <v>0.42269201691622299</v>
      </c>
      <c r="S936" t="s">
        <v>2262</v>
      </c>
      <c r="T936" t="s">
        <v>2650</v>
      </c>
      <c r="U936" t="s">
        <v>2650</v>
      </c>
      <c r="V936" t="s">
        <v>2650</v>
      </c>
      <c r="W936" t="s">
        <v>3586</v>
      </c>
      <c r="X936">
        <v>4</v>
      </c>
      <c r="Y936" t="s">
        <v>4898</v>
      </c>
      <c r="Z936" t="s">
        <v>6216</v>
      </c>
      <c r="AA936">
        <v>1.427474486870401</v>
      </c>
      <c r="AB936" t="str">
        <f>HYPERLINK("Melting_Curves/meltCurve_Q5T749_KPRP.pdf", "Melting_Curves/meltCurve_Q5T749_KPRP.pdf")</f>
        <v>Melting_Curves/meltCurve_Q5T749_KPRP.pdf</v>
      </c>
    </row>
    <row r="937" spans="1:28" x14ac:dyDescent="0.25">
      <c r="A937" t="s">
        <v>941</v>
      </c>
      <c r="B937">
        <v>1</v>
      </c>
      <c r="C937">
        <v>0.89712564456016697</v>
      </c>
      <c r="D937">
        <v>1.3898504109868799</v>
      </c>
      <c r="E937">
        <v>1.60739265839587</v>
      </c>
      <c r="F937">
        <v>1.2115688977382999</v>
      </c>
      <c r="G937">
        <v>1.29376627354878</v>
      </c>
      <c r="H937">
        <v>1.3810690764282401</v>
      </c>
      <c r="I937">
        <v>1.7640271608720099</v>
      </c>
      <c r="J937">
        <v>1.0398733854086899</v>
      </c>
      <c r="K937">
        <v>1.3693265941696</v>
      </c>
      <c r="L937">
        <v>11157.593727637101</v>
      </c>
      <c r="M937">
        <v>250</v>
      </c>
      <c r="O937">
        <v>44.627529458205501</v>
      </c>
      <c r="P937">
        <v>0.53521807957606304</v>
      </c>
      <c r="Q937">
        <v>1.3821672789581501</v>
      </c>
      <c r="R937">
        <v>0.44976251105883502</v>
      </c>
      <c r="S937" t="s">
        <v>2263</v>
      </c>
      <c r="T937" t="s">
        <v>2650</v>
      </c>
      <c r="U937" t="s">
        <v>2650</v>
      </c>
      <c r="V937" t="s">
        <v>2650</v>
      </c>
      <c r="W937" t="s">
        <v>3587</v>
      </c>
      <c r="X937">
        <v>4</v>
      </c>
      <c r="Y937" t="s">
        <v>4899</v>
      </c>
      <c r="Z937" t="s">
        <v>6217</v>
      </c>
      <c r="AA937">
        <v>1.3231514194676051</v>
      </c>
      <c r="AB937" t="str">
        <f>HYPERLINK("Melting_Curves/meltCurve_Q5TDH0_DDI2.pdf", "Melting_Curves/meltCurve_Q5TDH0_DDI2.pdf")</f>
        <v>Melting_Curves/meltCurve_Q5TDH0_DDI2.pdf</v>
      </c>
    </row>
    <row r="938" spans="1:28" x14ac:dyDescent="0.25">
      <c r="A938" t="s">
        <v>942</v>
      </c>
      <c r="B938">
        <v>1</v>
      </c>
      <c r="C938">
        <v>0.83624325911687802</v>
      </c>
      <c r="D938">
        <v>1.18297826899461</v>
      </c>
      <c r="E938">
        <v>1.43243098937477</v>
      </c>
      <c r="F938">
        <v>1.2866143413957001</v>
      </c>
      <c r="G938">
        <v>2.7525228255646299</v>
      </c>
      <c r="H938">
        <v>2.8684927118372601</v>
      </c>
      <c r="I938">
        <v>3.48972182177372</v>
      </c>
      <c r="J938">
        <v>2.3888087991884199</v>
      </c>
      <c r="K938">
        <v>3.25009343798388</v>
      </c>
      <c r="L938">
        <v>2035.4535415406699</v>
      </c>
      <c r="M938">
        <v>43.451928479779703</v>
      </c>
      <c r="O938">
        <v>46.744922960320402</v>
      </c>
      <c r="P938">
        <v>0.11619445201817399</v>
      </c>
      <c r="Q938">
        <v>1.5</v>
      </c>
      <c r="R938">
        <v>-0.247428464424333</v>
      </c>
      <c r="S938" t="s">
        <v>2264</v>
      </c>
      <c r="T938" t="s">
        <v>2650</v>
      </c>
      <c r="U938" t="s">
        <v>2650</v>
      </c>
      <c r="V938" t="s">
        <v>2650</v>
      </c>
      <c r="W938" t="s">
        <v>3588</v>
      </c>
      <c r="X938">
        <v>1</v>
      </c>
      <c r="Y938" t="s">
        <v>4900</v>
      </c>
      <c r="Z938" t="s">
        <v>6218</v>
      </c>
      <c r="AA938">
        <v>1.3845586990231289</v>
      </c>
      <c r="AB938" t="str">
        <f>HYPERLINK("Melting_Curves/meltCurve_Q5TZA2_2_CROCC.pdf", "Melting_Curves/meltCurve_Q5TZA2_2_CROCC.pdf")</f>
        <v>Melting_Curves/meltCurve_Q5TZA2_2_CROCC.pdf</v>
      </c>
    </row>
    <row r="939" spans="1:28" x14ac:dyDescent="0.25">
      <c r="A939" t="s">
        <v>943</v>
      </c>
      <c r="B939">
        <v>1</v>
      </c>
      <c r="C939">
        <v>0.81584348941629203</v>
      </c>
      <c r="D939">
        <v>1.1264592687620301</v>
      </c>
      <c r="E939">
        <v>1.3834830019243101</v>
      </c>
      <c r="F939">
        <v>1.08043617703656</v>
      </c>
      <c r="G939">
        <v>1.3619948685054499</v>
      </c>
      <c r="H939">
        <v>1.23104554201411</v>
      </c>
      <c r="I939">
        <v>1.54874919820398</v>
      </c>
      <c r="J939">
        <v>1.1042976266837701</v>
      </c>
      <c r="K939">
        <v>1.4025657472738899</v>
      </c>
      <c r="L939">
        <v>11515.0322603368</v>
      </c>
      <c r="M939">
        <v>250</v>
      </c>
      <c r="O939">
        <v>46.057181432087603</v>
      </c>
      <c r="P939">
        <v>0.40953985646951402</v>
      </c>
      <c r="Q939">
        <v>1.3017960236514901</v>
      </c>
      <c r="R939">
        <v>0.52609305490931801</v>
      </c>
      <c r="S939" t="s">
        <v>2265</v>
      </c>
      <c r="T939" t="s">
        <v>2650</v>
      </c>
      <c r="U939" t="s">
        <v>2650</v>
      </c>
      <c r="V939" t="s">
        <v>2650</v>
      </c>
      <c r="W939" t="s">
        <v>3589</v>
      </c>
      <c r="X939">
        <v>8</v>
      </c>
      <c r="Y939" t="s">
        <v>4901</v>
      </c>
      <c r="Z939" t="s">
        <v>6219</v>
      </c>
      <c r="AA939">
        <v>1.2408075331109261</v>
      </c>
      <c r="AB939" t="str">
        <f>HYPERLINK("Melting_Curves/meltCurve_Q5VTE0_EEF1A1P5.pdf", "Melting_Curves/meltCurve_Q5VTE0_EEF1A1P5.pdf")</f>
        <v>Melting_Curves/meltCurve_Q5VTE0_EEF1A1P5.pdf</v>
      </c>
    </row>
    <row r="940" spans="1:28" x14ac:dyDescent="0.25">
      <c r="A940" t="s">
        <v>944</v>
      </c>
      <c r="B940">
        <v>1</v>
      </c>
      <c r="C940">
        <v>0.89378474815368003</v>
      </c>
      <c r="D940">
        <v>1.12090282964069</v>
      </c>
      <c r="E940">
        <v>1.2921749232428801</v>
      </c>
      <c r="F940">
        <v>1.1822255414488401</v>
      </c>
      <c r="G940">
        <v>1.09999170193345</v>
      </c>
      <c r="H940">
        <v>0.96307360385030305</v>
      </c>
      <c r="I940">
        <v>1.22570741017343</v>
      </c>
      <c r="J940">
        <v>0.81991535972118501</v>
      </c>
      <c r="K940">
        <v>1.1452161646336401</v>
      </c>
      <c r="L940">
        <v>11144.2950433478</v>
      </c>
      <c r="M940">
        <v>250</v>
      </c>
      <c r="O940">
        <v>44.574327591579902</v>
      </c>
      <c r="P940">
        <v>0.1488457520051</v>
      </c>
      <c r="Q940">
        <v>1.10615518869566</v>
      </c>
      <c r="R940">
        <v>0.17035193862082801</v>
      </c>
      <c r="S940" t="s">
        <v>2266</v>
      </c>
      <c r="T940" t="s">
        <v>2650</v>
      </c>
      <c r="U940" t="s">
        <v>2650</v>
      </c>
      <c r="V940" t="s">
        <v>2650</v>
      </c>
      <c r="W940" t="s">
        <v>3590</v>
      </c>
      <c r="X940">
        <v>1</v>
      </c>
      <c r="Y940" t="s">
        <v>4902</v>
      </c>
      <c r="Z940" t="s">
        <v>6220</v>
      </c>
      <c r="AA940">
        <v>1.089950503102264</v>
      </c>
      <c r="AB940" t="str">
        <f>HYPERLINK("Melting_Curves/meltCurve_Q5ZPR3_2_CD276.pdf", "Melting_Curves/meltCurve_Q5ZPR3_2_CD276.pdf")</f>
        <v>Melting_Curves/meltCurve_Q5ZPR3_2_CD276.pdf</v>
      </c>
    </row>
    <row r="941" spans="1:28" x14ac:dyDescent="0.25">
      <c r="A941" t="s">
        <v>945</v>
      </c>
      <c r="B941">
        <v>1</v>
      </c>
      <c r="C941">
        <v>0.63260838097995198</v>
      </c>
      <c r="D941">
        <v>1.06318303539118</v>
      </c>
      <c r="E941">
        <v>1.2006405153072299</v>
      </c>
      <c r="F941">
        <v>0.78157342404284602</v>
      </c>
      <c r="G941">
        <v>0.77516827097054397</v>
      </c>
      <c r="H941">
        <v>0.82146992834913501</v>
      </c>
      <c r="I941">
        <v>0.91640732431063199</v>
      </c>
      <c r="J941">
        <v>0.43551422161105902</v>
      </c>
      <c r="K941">
        <v>0.681768835492509</v>
      </c>
      <c r="L941">
        <v>414.50195633960402</v>
      </c>
      <c r="M941">
        <v>5.4878402612983299</v>
      </c>
      <c r="O941">
        <v>67.273945946164304</v>
      </c>
      <c r="P941">
        <v>-2.0484160724292402E-2</v>
      </c>
      <c r="Q941">
        <v>0</v>
      </c>
      <c r="R941">
        <v>0.29231831482676601</v>
      </c>
      <c r="S941" t="s">
        <v>2267</v>
      </c>
      <c r="T941" t="s">
        <v>2650</v>
      </c>
      <c r="U941" t="s">
        <v>2650</v>
      </c>
      <c r="V941" t="s">
        <v>2650</v>
      </c>
      <c r="W941" t="s">
        <v>3591</v>
      </c>
      <c r="X941">
        <v>1</v>
      </c>
      <c r="Y941" t="s">
        <v>4903</v>
      </c>
      <c r="Z941" t="s">
        <v>6221</v>
      </c>
      <c r="AA941">
        <v>0.85438986464200073</v>
      </c>
      <c r="AB941" t="str">
        <f>HYPERLINK("Melting_Curves/meltCurve_Q66GS9_CEP135.pdf", "Melting_Curves/meltCurve_Q66GS9_CEP135.pdf")</f>
        <v>Melting_Curves/meltCurve_Q66GS9_CEP135.pdf</v>
      </c>
    </row>
    <row r="942" spans="1:28" x14ac:dyDescent="0.25">
      <c r="A942" t="s">
        <v>946</v>
      </c>
      <c r="B942">
        <v>1</v>
      </c>
      <c r="C942">
        <v>0.75254935325959604</v>
      </c>
      <c r="D942">
        <v>1.12579686555938</v>
      </c>
      <c r="E942">
        <v>1.38916632757494</v>
      </c>
      <c r="F942">
        <v>1.02191149089385</v>
      </c>
      <c r="G942">
        <v>1.1550697295897601</v>
      </c>
      <c r="H942">
        <v>1.1585716223381299</v>
      </c>
      <c r="I942">
        <v>1.81272272161186</v>
      </c>
      <c r="J942">
        <v>1.24884400547479</v>
      </c>
      <c r="K942">
        <v>1.8783215576024399</v>
      </c>
      <c r="L942">
        <v>15000</v>
      </c>
      <c r="M942">
        <v>245.134990977613</v>
      </c>
      <c r="O942">
        <v>61.186701974601</v>
      </c>
      <c r="P942">
        <v>0.50079303094039396</v>
      </c>
      <c r="Q942">
        <v>1.5</v>
      </c>
      <c r="R942">
        <v>0.50503051202946403</v>
      </c>
      <c r="S942" t="s">
        <v>2268</v>
      </c>
      <c r="T942" t="s">
        <v>2650</v>
      </c>
      <c r="U942" t="s">
        <v>2650</v>
      </c>
      <c r="V942" t="s">
        <v>2650</v>
      </c>
      <c r="W942" t="s">
        <v>3592</v>
      </c>
      <c r="X942">
        <v>7</v>
      </c>
      <c r="Y942" t="s">
        <v>4904</v>
      </c>
      <c r="Z942" t="s">
        <v>6222</v>
      </c>
      <c r="AA942">
        <v>1.1467645746001749</v>
      </c>
      <c r="AB942" t="str">
        <f>HYPERLINK("Melting_Curves/meltCurve_Q66K79_2_CPZ.pdf", "Melting_Curves/meltCurve_Q66K79_2_CPZ.pdf")</f>
        <v>Melting_Curves/meltCurve_Q66K79_2_CPZ.pdf</v>
      </c>
    </row>
    <row r="943" spans="1:28" x14ac:dyDescent="0.25">
      <c r="A943" t="s">
        <v>947</v>
      </c>
      <c r="B943">
        <v>1</v>
      </c>
      <c r="C943">
        <v>0.88207604396671002</v>
      </c>
      <c r="D943">
        <v>1.18411666221823</v>
      </c>
      <c r="E943">
        <v>1.3834469706160699</v>
      </c>
      <c r="F943">
        <v>0.980515856647174</v>
      </c>
      <c r="G943">
        <v>1.01851357581346</v>
      </c>
      <c r="H943">
        <v>0.82733603474631801</v>
      </c>
      <c r="I943">
        <v>1.37951617208162</v>
      </c>
      <c r="J943">
        <v>0.79440953097323697</v>
      </c>
      <c r="K943">
        <v>0.93810205517676404</v>
      </c>
      <c r="L943">
        <v>2405.1998540591298</v>
      </c>
      <c r="M943">
        <v>35.295051121660997</v>
      </c>
      <c r="O943">
        <v>67.927880452674401</v>
      </c>
      <c r="P943">
        <v>-1.5410088713813001E-2</v>
      </c>
      <c r="Q943">
        <v>0.88136908215343002</v>
      </c>
      <c r="R943">
        <v>-1.01691021908252E-2</v>
      </c>
      <c r="S943" t="s">
        <v>2269</v>
      </c>
      <c r="T943" t="s">
        <v>2650</v>
      </c>
      <c r="U943" t="s">
        <v>2650</v>
      </c>
      <c r="V943" t="s">
        <v>2650</v>
      </c>
      <c r="W943" t="s">
        <v>3593</v>
      </c>
      <c r="X943">
        <v>1</v>
      </c>
      <c r="Y943" t="s">
        <v>4905</v>
      </c>
      <c r="Z943" t="s">
        <v>6223</v>
      </c>
      <c r="AA943">
        <v>0.99053262136533438</v>
      </c>
      <c r="AB943" t="str">
        <f>HYPERLINK("Melting_Curves/meltCurve_Q68D85_NCR3LG1.pdf", "Melting_Curves/meltCurve_Q68D85_NCR3LG1.pdf")</f>
        <v>Melting_Curves/meltCurve_Q68D85_NCR3LG1.pdf</v>
      </c>
    </row>
    <row r="944" spans="1:28" x14ac:dyDescent="0.25">
      <c r="A944" t="s">
        <v>948</v>
      </c>
      <c r="B944">
        <v>1</v>
      </c>
      <c r="C944">
        <v>0.79317673730281202</v>
      </c>
      <c r="D944">
        <v>1.2289272332252299</v>
      </c>
      <c r="E944">
        <v>1.3832929248401999</v>
      </c>
      <c r="F944">
        <v>1.03750118076766</v>
      </c>
      <c r="G944">
        <v>1.1445574482823799</v>
      </c>
      <c r="H944">
        <v>1.0221354576655399</v>
      </c>
      <c r="I944">
        <v>1.0758682578166801</v>
      </c>
      <c r="J944">
        <v>0.76636543971787496</v>
      </c>
      <c r="K944">
        <v>1.0397367675304601</v>
      </c>
      <c r="L944">
        <v>2399.0296752921599</v>
      </c>
      <c r="M944">
        <v>36.9367200176181</v>
      </c>
      <c r="O944">
        <v>64.760223173628901</v>
      </c>
      <c r="P944">
        <v>-9.7442212985039099E-3</v>
      </c>
      <c r="Q944">
        <v>0.93166300092342902</v>
      </c>
      <c r="R944">
        <v>-5.5117447611340499E-2</v>
      </c>
      <c r="S944" t="s">
        <v>2270</v>
      </c>
      <c r="T944" t="s">
        <v>2650</v>
      </c>
      <c r="U944" t="s">
        <v>2650</v>
      </c>
      <c r="V944" t="s">
        <v>2650</v>
      </c>
      <c r="W944" t="s">
        <v>3594</v>
      </c>
      <c r="X944">
        <v>2</v>
      </c>
      <c r="Y944" t="s">
        <v>4906</v>
      </c>
      <c r="Z944" t="s">
        <v>6224</v>
      </c>
      <c r="AA944">
        <v>0.98852289495811851</v>
      </c>
      <c r="AB944" t="str">
        <f>HYPERLINK("Melting_Curves/meltCurve_Q6AI12_ANKRD40.pdf", "Melting_Curves/meltCurve_Q6AI12_ANKRD40.pdf")</f>
        <v>Melting_Curves/meltCurve_Q6AI12_ANKRD40.pdf</v>
      </c>
    </row>
    <row r="945" spans="1:28" x14ac:dyDescent="0.25">
      <c r="A945" t="s">
        <v>949</v>
      </c>
      <c r="B945">
        <v>1</v>
      </c>
      <c r="C945">
        <v>0.80157968885824804</v>
      </c>
      <c r="D945">
        <v>1.11417523455532</v>
      </c>
      <c r="E945">
        <v>1.3328137645753999</v>
      </c>
      <c r="F945">
        <v>1.17025868529121</v>
      </c>
      <c r="G945">
        <v>0.92662090464914104</v>
      </c>
      <c r="H945">
        <v>0.91130361799706205</v>
      </c>
      <c r="I945">
        <v>1.2448217979077401</v>
      </c>
      <c r="J945">
        <v>0.73596414975570301</v>
      </c>
      <c r="K945">
        <v>0.97805821168430196</v>
      </c>
      <c r="L945">
        <v>15000</v>
      </c>
      <c r="M945">
        <v>228.774198848482</v>
      </c>
      <c r="O945">
        <v>65.561823956575296</v>
      </c>
      <c r="P945">
        <v>-0.124409218010607</v>
      </c>
      <c r="Q945">
        <v>0.857387847563431</v>
      </c>
      <c r="R945">
        <v>0.107970394034024</v>
      </c>
      <c r="S945" t="s">
        <v>2271</v>
      </c>
      <c r="T945" t="s">
        <v>2650</v>
      </c>
      <c r="U945" t="s">
        <v>2650</v>
      </c>
      <c r="V945" t="s">
        <v>2650</v>
      </c>
      <c r="W945" t="s">
        <v>3595</v>
      </c>
      <c r="X945">
        <v>1</v>
      </c>
      <c r="Y945" t="s">
        <v>4907</v>
      </c>
      <c r="Z945" t="s">
        <v>6225</v>
      </c>
      <c r="AA945">
        <v>0.97894548677003146</v>
      </c>
      <c r="AB945" t="str">
        <f>HYPERLINK("Melting_Curves/meltCurve_Q6DN90_2_IQSEC1.pdf", "Melting_Curves/meltCurve_Q6DN90_2_IQSEC1.pdf")</f>
        <v>Melting_Curves/meltCurve_Q6DN90_2_IQSEC1.pdf</v>
      </c>
    </row>
    <row r="946" spans="1:28" x14ac:dyDescent="0.25">
      <c r="A946" t="s">
        <v>950</v>
      </c>
      <c r="B946">
        <v>1</v>
      </c>
      <c r="C946">
        <v>0.84584494345189298</v>
      </c>
      <c r="D946">
        <v>1.1864448451073599</v>
      </c>
      <c r="E946">
        <v>2.7312735617111898</v>
      </c>
      <c r="F946">
        <v>2.07297983937059</v>
      </c>
      <c r="G946">
        <v>2.2455744959842598</v>
      </c>
      <c r="H946">
        <v>2.4095640059006702</v>
      </c>
      <c r="I946">
        <v>2.93726438288805</v>
      </c>
      <c r="J946">
        <v>1.9897557777413499</v>
      </c>
      <c r="K946">
        <v>2.35461399770529</v>
      </c>
      <c r="L946">
        <v>11523.9126275011</v>
      </c>
      <c r="M946">
        <v>250</v>
      </c>
      <c r="O946">
        <v>46.092700678134101</v>
      </c>
      <c r="P946">
        <v>0.67798153646955805</v>
      </c>
      <c r="Q946">
        <v>1.5</v>
      </c>
      <c r="R946">
        <v>-0.32049942782244001</v>
      </c>
      <c r="S946" t="s">
        <v>2272</v>
      </c>
      <c r="T946" t="s">
        <v>2650</v>
      </c>
      <c r="U946" t="s">
        <v>2650</v>
      </c>
      <c r="V946" t="s">
        <v>2650</v>
      </c>
      <c r="W946" t="s">
        <v>3596</v>
      </c>
      <c r="X946">
        <v>1</v>
      </c>
      <c r="Y946" t="s">
        <v>4908</v>
      </c>
      <c r="Z946" t="s">
        <v>6226</v>
      </c>
      <c r="AA946">
        <v>1.398365376258641</v>
      </c>
      <c r="AB946" t="str">
        <f>HYPERLINK("Melting_Curves/meltCurve_Q6EMK4_VASN.pdf", "Melting_Curves/meltCurve_Q6EMK4_VASN.pdf")</f>
        <v>Melting_Curves/meltCurve_Q6EMK4_VASN.pdf</v>
      </c>
    </row>
    <row r="947" spans="1:28" x14ac:dyDescent="0.25">
      <c r="A947" t="s">
        <v>951</v>
      </c>
      <c r="B947">
        <v>1</v>
      </c>
      <c r="C947">
        <v>0.79550036555375903</v>
      </c>
      <c r="D947">
        <v>1.2626005272836001</v>
      </c>
      <c r="E947">
        <v>1.40527726698717</v>
      </c>
      <c r="F947">
        <v>1.12922879234331</v>
      </c>
      <c r="G947">
        <v>1.0718257748631901</v>
      </c>
      <c r="H947">
        <v>1.0162172940159999</v>
      </c>
      <c r="I947">
        <v>1.20843210669739</v>
      </c>
      <c r="J947">
        <v>0.75054833063783599</v>
      </c>
      <c r="K947">
        <v>1.0151427875135699</v>
      </c>
      <c r="L947">
        <v>1765.6271382934401</v>
      </c>
      <c r="M947">
        <v>26.223529116662</v>
      </c>
      <c r="O947">
        <v>66.9419743875942</v>
      </c>
      <c r="P947">
        <v>-7.25326850642576E-3</v>
      </c>
      <c r="Q947">
        <v>0.92593782641600797</v>
      </c>
      <c r="R947">
        <v>-0.105935112320186</v>
      </c>
      <c r="S947" t="s">
        <v>2273</v>
      </c>
      <c r="T947" t="s">
        <v>2650</v>
      </c>
      <c r="U947" t="s">
        <v>2650</v>
      </c>
      <c r="V947" t="s">
        <v>2650</v>
      </c>
      <c r="W947" t="s">
        <v>3597</v>
      </c>
      <c r="X947">
        <v>1</v>
      </c>
      <c r="Y947" t="s">
        <v>4909</v>
      </c>
      <c r="Z947" t="s">
        <v>6227</v>
      </c>
      <c r="AA947">
        <v>0.99186305825168086</v>
      </c>
      <c r="AB947" t="str">
        <f>HYPERLINK("Melting_Curves/meltCurve_Q6GYQ0_3_RALGAPA1.pdf", "Melting_Curves/meltCurve_Q6GYQ0_3_RALGAPA1.pdf")</f>
        <v>Melting_Curves/meltCurve_Q6GYQ0_3_RALGAPA1.pdf</v>
      </c>
    </row>
    <row r="948" spans="1:28" x14ac:dyDescent="0.25">
      <c r="A948" t="s">
        <v>952</v>
      </c>
      <c r="B948">
        <v>1</v>
      </c>
      <c r="C948">
        <v>0.59130686039792002</v>
      </c>
      <c r="D948">
        <v>1</v>
      </c>
      <c r="E948">
        <v>1.04424997936102</v>
      </c>
      <c r="F948">
        <v>0.69982663254354804</v>
      </c>
      <c r="G948">
        <v>0.77458102864690803</v>
      </c>
      <c r="H948">
        <v>0.75943201519029102</v>
      </c>
      <c r="I948">
        <v>0.75418971353091702</v>
      </c>
      <c r="J948">
        <v>0.42318170560554802</v>
      </c>
      <c r="K948">
        <v>0.63196565673243599</v>
      </c>
      <c r="L948">
        <v>237.639617714401</v>
      </c>
      <c r="M948">
        <v>3.0475450193040401</v>
      </c>
      <c r="O948">
        <v>57.811445823305</v>
      </c>
      <c r="P948">
        <v>-1.35678324363035E-2</v>
      </c>
      <c r="Q948">
        <v>0</v>
      </c>
      <c r="R948">
        <v>0.35667151320421098</v>
      </c>
      <c r="S948" t="s">
        <v>2274</v>
      </c>
      <c r="T948" t="s">
        <v>2650</v>
      </c>
      <c r="U948" t="s">
        <v>2650</v>
      </c>
      <c r="V948" t="s">
        <v>2650</v>
      </c>
      <c r="W948" t="s">
        <v>3598</v>
      </c>
      <c r="X948">
        <v>1</v>
      </c>
      <c r="Y948" t="s">
        <v>4910</v>
      </c>
      <c r="Z948" t="s">
        <v>6228</v>
      </c>
      <c r="AA948">
        <v>0.77675009356059266</v>
      </c>
      <c r="AB948" t="str">
        <f>HYPERLINK("Melting_Curves/meltCurve_Q6IPM2_4_IQCE.pdf", "Melting_Curves/meltCurve_Q6IPM2_4_IQCE.pdf")</f>
        <v>Melting_Curves/meltCurve_Q6IPM2_4_IQCE.pdf</v>
      </c>
    </row>
    <row r="949" spans="1:28" x14ac:dyDescent="0.25">
      <c r="A949" t="s">
        <v>953</v>
      </c>
      <c r="B949">
        <v>1</v>
      </c>
      <c r="C949">
        <v>0.81924959216965698</v>
      </c>
      <c r="D949">
        <v>1.19336595976074</v>
      </c>
      <c r="E949">
        <v>1.5</v>
      </c>
      <c r="F949">
        <v>1.0772702555736799</v>
      </c>
      <c r="G949">
        <v>1.21799891245242</v>
      </c>
      <c r="H949">
        <v>1.1715606307776001</v>
      </c>
      <c r="I949">
        <v>1.3123436650353499</v>
      </c>
      <c r="J949">
        <v>0.95959760739532396</v>
      </c>
      <c r="K949">
        <v>1.36150081566069</v>
      </c>
      <c r="L949">
        <v>11421.695318201801</v>
      </c>
      <c r="M949">
        <v>250</v>
      </c>
      <c r="O949">
        <v>45.683857658017203</v>
      </c>
      <c r="P949">
        <v>0.31276130037149902</v>
      </c>
      <c r="Q949">
        <v>1.2286102831847201</v>
      </c>
      <c r="R949">
        <v>0.38390157104926098</v>
      </c>
      <c r="S949" t="s">
        <v>2275</v>
      </c>
      <c r="T949" t="s">
        <v>2650</v>
      </c>
      <c r="U949" t="s">
        <v>2650</v>
      </c>
      <c r="V949" t="s">
        <v>2650</v>
      </c>
      <c r="W949" t="s">
        <v>3599</v>
      </c>
      <c r="X949">
        <v>2</v>
      </c>
      <c r="Y949" t="s">
        <v>4911</v>
      </c>
      <c r="Z949" t="s">
        <v>6229</v>
      </c>
      <c r="AA949">
        <v>1.185256730733057</v>
      </c>
      <c r="AB949" t="str">
        <f>HYPERLINK("Melting_Curves/meltCurve_Q6NUS6_2_TCTN3.pdf", "Melting_Curves/meltCurve_Q6NUS6_2_TCTN3.pdf")</f>
        <v>Melting_Curves/meltCurve_Q6NUS6_2_TCTN3.pdf</v>
      </c>
    </row>
    <row r="950" spans="1:28" x14ac:dyDescent="0.25">
      <c r="A950" t="s">
        <v>954</v>
      </c>
      <c r="B950">
        <v>1</v>
      </c>
      <c r="C950">
        <v>0.89549162730785703</v>
      </c>
      <c r="D950">
        <v>1.1811936453413501</v>
      </c>
      <c r="E950">
        <v>1.27425933877201</v>
      </c>
      <c r="F950">
        <v>1.28896522112495</v>
      </c>
      <c r="G950">
        <v>1.18527264920567</v>
      </c>
      <c r="H950">
        <v>1.13149420352082</v>
      </c>
      <c r="I950">
        <v>1.31784027479605</v>
      </c>
      <c r="J950">
        <v>1.03242808072134</v>
      </c>
      <c r="K950">
        <v>1.29937741519966</v>
      </c>
      <c r="L950">
        <v>11427.325734973099</v>
      </c>
      <c r="M950">
        <v>250</v>
      </c>
      <c r="O950">
        <v>45.706377895776797</v>
      </c>
      <c r="P950">
        <v>0.29880896025901998</v>
      </c>
      <c r="Q950">
        <v>1.2185196036138399</v>
      </c>
      <c r="R950">
        <v>0.58083807139018995</v>
      </c>
      <c r="S950" t="s">
        <v>2276</v>
      </c>
      <c r="T950" t="s">
        <v>2650</v>
      </c>
      <c r="U950" t="s">
        <v>2650</v>
      </c>
      <c r="V950" t="s">
        <v>2650</v>
      </c>
      <c r="W950" t="s">
        <v>3600</v>
      </c>
      <c r="X950">
        <v>1</v>
      </c>
      <c r="Y950" t="s">
        <v>4912</v>
      </c>
      <c r="Z950" t="s">
        <v>6230</v>
      </c>
      <c r="AA950">
        <v>1.1769155869866821</v>
      </c>
      <c r="AB950" t="str">
        <f>HYPERLINK("Melting_Curves/meltCurve_Q6NW40_RGMB.pdf", "Melting_Curves/meltCurve_Q6NW40_RGMB.pdf")</f>
        <v>Melting_Curves/meltCurve_Q6NW40_RGMB.pdf</v>
      </c>
    </row>
    <row r="951" spans="1:28" x14ac:dyDescent="0.25">
      <c r="A951" t="s">
        <v>955</v>
      </c>
      <c r="B951">
        <v>1</v>
      </c>
      <c r="C951">
        <v>0.76601391578796396</v>
      </c>
      <c r="D951">
        <v>0.94591492719317105</v>
      </c>
      <c r="E951">
        <v>1.6061258159386</v>
      </c>
      <c r="F951">
        <v>0.94713435191162798</v>
      </c>
      <c r="G951">
        <v>1.18377447815795</v>
      </c>
      <c r="H951">
        <v>0.92547163044257896</v>
      </c>
      <c r="I951">
        <v>1.0101857829423999</v>
      </c>
      <c r="J951">
        <v>0.75955813786672399</v>
      </c>
      <c r="K951">
        <v>0.67558281328455605</v>
      </c>
      <c r="L951">
        <v>15000</v>
      </c>
      <c r="M951">
        <v>224.932365114964</v>
      </c>
      <c r="O951">
        <v>66.681437737448505</v>
      </c>
      <c r="P951">
        <v>-0.27359254863565502</v>
      </c>
      <c r="Q951">
        <v>0.675572781652648</v>
      </c>
      <c r="R951">
        <v>0.25483946920776102</v>
      </c>
      <c r="S951" t="s">
        <v>2277</v>
      </c>
      <c r="T951" t="s">
        <v>2650</v>
      </c>
      <c r="U951" t="s">
        <v>2650</v>
      </c>
      <c r="V951" t="s">
        <v>2650</v>
      </c>
      <c r="W951" t="s">
        <v>3601</v>
      </c>
      <c r="X951">
        <v>2</v>
      </c>
      <c r="Y951" t="s">
        <v>4913</v>
      </c>
      <c r="Z951" t="s">
        <v>6231</v>
      </c>
      <c r="AA951">
        <v>0.96421613469169609</v>
      </c>
      <c r="AB951" t="str">
        <f>HYPERLINK("Melting_Curves/meltCurve_Q6NXT2_H3F3C.pdf", "Melting_Curves/meltCurve_Q6NXT2_H3F3C.pdf")</f>
        <v>Melting_Curves/meltCurve_Q6NXT2_H3F3C.pdf</v>
      </c>
    </row>
    <row r="952" spans="1:28" x14ac:dyDescent="0.25">
      <c r="A952" t="s">
        <v>956</v>
      </c>
      <c r="B952">
        <v>1</v>
      </c>
      <c r="C952">
        <v>0.76997864704011598</v>
      </c>
      <c r="D952">
        <v>1.0325064740357099</v>
      </c>
      <c r="E952">
        <v>1.1796147380855</v>
      </c>
      <c r="F952">
        <v>0.93614556358184497</v>
      </c>
      <c r="G952">
        <v>1.0413429648812</v>
      </c>
      <c r="H952">
        <v>0.88460315296896996</v>
      </c>
      <c r="I952">
        <v>0.97012857207759795</v>
      </c>
      <c r="J952">
        <v>0.70396619871882204</v>
      </c>
      <c r="K952">
        <v>0.86329562491481504</v>
      </c>
      <c r="L952">
        <v>1984.6263043091401</v>
      </c>
      <c r="M952">
        <v>31.379060849786001</v>
      </c>
      <c r="O952">
        <v>62.9916405864357</v>
      </c>
      <c r="P952">
        <v>-2.60016563444729E-2</v>
      </c>
      <c r="Q952">
        <v>0.79121392010599401</v>
      </c>
      <c r="R952">
        <v>0.29205555576703301</v>
      </c>
      <c r="S952" t="s">
        <v>2278</v>
      </c>
      <c r="T952" t="s">
        <v>2650</v>
      </c>
      <c r="U952" t="s">
        <v>2650</v>
      </c>
      <c r="V952" t="s">
        <v>2650</v>
      </c>
      <c r="W952" t="s">
        <v>3602</v>
      </c>
      <c r="X952">
        <v>2</v>
      </c>
      <c r="Y952" t="s">
        <v>4914</v>
      </c>
      <c r="Z952" t="s">
        <v>6232</v>
      </c>
      <c r="AA952">
        <v>0.95361489533138422</v>
      </c>
      <c r="AB952" t="str">
        <f>HYPERLINK("Melting_Curves/meltCurve_Q6P4E1_2_CASC4.pdf", "Melting_Curves/meltCurve_Q6P4E1_2_CASC4.pdf")</f>
        <v>Melting_Curves/meltCurve_Q6P4E1_2_CASC4.pdf</v>
      </c>
    </row>
    <row r="953" spans="1:28" x14ac:dyDescent="0.25">
      <c r="A953" t="s">
        <v>957</v>
      </c>
      <c r="B953">
        <v>1</v>
      </c>
      <c r="C953">
        <v>0.82300707168113196</v>
      </c>
      <c r="D953">
        <v>1.22966891674703</v>
      </c>
      <c r="E953">
        <v>1.6227097396335599</v>
      </c>
      <c r="F953">
        <v>1.14183542269367</v>
      </c>
      <c r="G953">
        <v>1.21773545483767</v>
      </c>
      <c r="H953">
        <v>1.2676792028286701</v>
      </c>
      <c r="I953">
        <v>1.3293153326904501</v>
      </c>
      <c r="J953">
        <v>1.0381710061073599</v>
      </c>
      <c r="K953">
        <v>1.3307618129218901</v>
      </c>
      <c r="L953">
        <v>11428.605418356499</v>
      </c>
      <c r="M953">
        <v>250</v>
      </c>
      <c r="O953">
        <v>45.711496294508002</v>
      </c>
      <c r="P953">
        <v>0.38053260279214302</v>
      </c>
      <c r="Q953">
        <v>1.2783154340246099</v>
      </c>
      <c r="R953">
        <v>0.45260856399106397</v>
      </c>
      <c r="S953" t="s">
        <v>2279</v>
      </c>
      <c r="T953" t="s">
        <v>2650</v>
      </c>
      <c r="U953" t="s">
        <v>2650</v>
      </c>
      <c r="V953" t="s">
        <v>2650</v>
      </c>
      <c r="W953" t="s">
        <v>3603</v>
      </c>
      <c r="X953">
        <v>1</v>
      </c>
      <c r="Y953" t="s">
        <v>4915</v>
      </c>
      <c r="Z953" t="s">
        <v>6233</v>
      </c>
      <c r="AA953">
        <v>1.22527938036523</v>
      </c>
      <c r="AB953" t="str">
        <f>HYPERLINK("Melting_Curves/meltCurve_Q6P531_2_GGT6.pdf", "Melting_Curves/meltCurve_Q6P531_2_GGT6.pdf")</f>
        <v>Melting_Curves/meltCurve_Q6P531_2_GGT6.pdf</v>
      </c>
    </row>
    <row r="954" spans="1:28" x14ac:dyDescent="0.25">
      <c r="A954" t="s">
        <v>958</v>
      </c>
      <c r="B954">
        <v>1</v>
      </c>
      <c r="C954">
        <v>0.99962959533290097</v>
      </c>
      <c r="D954">
        <v>1.36730252801185</v>
      </c>
      <c r="E954">
        <v>1.6448282248356301</v>
      </c>
      <c r="F954">
        <v>1.3919344383739201</v>
      </c>
      <c r="G954">
        <v>1.4918510973238299</v>
      </c>
      <c r="H954">
        <v>1.25252338179461</v>
      </c>
      <c r="I954">
        <v>1.53370682470599</v>
      </c>
      <c r="J954">
        <v>0.903509584220761</v>
      </c>
      <c r="K954">
        <v>1.4292064080007401</v>
      </c>
      <c r="L954">
        <v>11069.1703881621</v>
      </c>
      <c r="M954">
        <v>244.14968662683199</v>
      </c>
      <c r="O954">
        <v>45.334597266725503</v>
      </c>
      <c r="P954">
        <v>0.50923023652655097</v>
      </c>
      <c r="Q954">
        <v>1.37822285029423</v>
      </c>
      <c r="R954">
        <v>0.39257387376444802</v>
      </c>
      <c r="S954" t="s">
        <v>2280</v>
      </c>
      <c r="T954" t="s">
        <v>2650</v>
      </c>
      <c r="U954" t="s">
        <v>2650</v>
      </c>
      <c r="V954" t="s">
        <v>2650</v>
      </c>
      <c r="W954" t="s">
        <v>3604</v>
      </c>
      <c r="X954">
        <v>1</v>
      </c>
      <c r="Y954" t="s">
        <v>4916</v>
      </c>
      <c r="Z954" t="s">
        <v>6234</v>
      </c>
      <c r="AA954">
        <v>1.3108973934854089</v>
      </c>
      <c r="AB954" t="str">
        <f>HYPERLINK("Melting_Curves/meltCurve_Q6P5S2_LEG1.pdf", "Melting_Curves/meltCurve_Q6P5S2_LEG1.pdf")</f>
        <v>Melting_Curves/meltCurve_Q6P5S2_LEG1.pdf</v>
      </c>
    </row>
    <row r="955" spans="1:28" x14ac:dyDescent="0.25">
      <c r="A955" t="s">
        <v>959</v>
      </c>
      <c r="B955">
        <v>1</v>
      </c>
      <c r="C955">
        <v>0.79507379337854001</v>
      </c>
      <c r="D955">
        <v>1.29371759074591</v>
      </c>
      <c r="E955">
        <v>1.72873952931791</v>
      </c>
      <c r="F955">
        <v>1.5697846031112901</v>
      </c>
      <c r="G955">
        <v>1.9873952931790999</v>
      </c>
      <c r="H955">
        <v>2.09792580773833</v>
      </c>
      <c r="I955">
        <v>2.5949341842839999</v>
      </c>
      <c r="J955">
        <v>1.6130035899481501</v>
      </c>
      <c r="K955">
        <v>2.3310729956122902</v>
      </c>
      <c r="L955">
        <v>11483.7448679103</v>
      </c>
      <c r="M955">
        <v>250</v>
      </c>
      <c r="O955">
        <v>45.932040626613102</v>
      </c>
      <c r="P955">
        <v>0.68035297537301898</v>
      </c>
      <c r="Q955">
        <v>1.5</v>
      </c>
      <c r="R955">
        <v>0.116624718989535</v>
      </c>
      <c r="S955" t="s">
        <v>2281</v>
      </c>
      <c r="T955" t="s">
        <v>2650</v>
      </c>
      <c r="U955" t="s">
        <v>2650</v>
      </c>
      <c r="V955" t="s">
        <v>2650</v>
      </c>
      <c r="W955" t="s">
        <v>3605</v>
      </c>
      <c r="X955">
        <v>12</v>
      </c>
      <c r="Y955" t="s">
        <v>4917</v>
      </c>
      <c r="Z955" t="s">
        <v>6235</v>
      </c>
      <c r="AA955">
        <v>1.401043367885614</v>
      </c>
      <c r="AB955" t="str">
        <f>HYPERLINK("Melting_Curves/meltCurve_Q6PCB0_VWA1.pdf", "Melting_Curves/meltCurve_Q6PCB0_VWA1.pdf")</f>
        <v>Melting_Curves/meltCurve_Q6PCB0_VWA1.pdf</v>
      </c>
    </row>
    <row r="956" spans="1:28" x14ac:dyDescent="0.25">
      <c r="A956" t="s">
        <v>960</v>
      </c>
      <c r="B956">
        <v>1</v>
      </c>
      <c r="C956">
        <v>0.79912317327766202</v>
      </c>
      <c r="D956">
        <v>1.1620876826722299</v>
      </c>
      <c r="E956">
        <v>1.2414613778705601</v>
      </c>
      <c r="F956">
        <v>1.14058455114823</v>
      </c>
      <c r="G956">
        <v>0.84513569937369504</v>
      </c>
      <c r="H956">
        <v>0.97703549060542805</v>
      </c>
      <c r="I956">
        <v>1.00020876826722</v>
      </c>
      <c r="J956">
        <v>0.75448851774530301</v>
      </c>
      <c r="K956">
        <v>0.931858037578288</v>
      </c>
      <c r="L956">
        <v>15000</v>
      </c>
      <c r="M956">
        <v>230.69418137290899</v>
      </c>
      <c r="O956">
        <v>65.016259391275696</v>
      </c>
      <c r="P956">
        <v>-0.13910402741910799</v>
      </c>
      <c r="Q956">
        <v>0.84318592759787503</v>
      </c>
      <c r="R956">
        <v>0.202437271868421</v>
      </c>
      <c r="S956" t="s">
        <v>2282</v>
      </c>
      <c r="T956" t="s">
        <v>2650</v>
      </c>
      <c r="U956" t="s">
        <v>2650</v>
      </c>
      <c r="V956" t="s">
        <v>2650</v>
      </c>
      <c r="W956" t="s">
        <v>3606</v>
      </c>
      <c r="X956">
        <v>1</v>
      </c>
      <c r="Y956" t="s">
        <v>4918</v>
      </c>
      <c r="Z956" t="s">
        <v>6236</v>
      </c>
      <c r="AA956">
        <v>0.97399586839290753</v>
      </c>
      <c r="AB956" t="str">
        <f>HYPERLINK("Melting_Curves/meltCurve_Q6TDU7_4_CASC1.pdf", "Melting_Curves/meltCurve_Q6TDU7_4_CASC1.pdf")</f>
        <v>Melting_Curves/meltCurve_Q6TDU7_4_CASC1.pdf</v>
      </c>
    </row>
    <row r="957" spans="1:28" x14ac:dyDescent="0.25">
      <c r="A957" t="s">
        <v>961</v>
      </c>
      <c r="B957">
        <v>1</v>
      </c>
      <c r="C957">
        <v>0.66342365522232005</v>
      </c>
      <c r="D957">
        <v>1.12860818525368</v>
      </c>
      <c r="E957">
        <v>1.4793358526975999</v>
      </c>
      <c r="F957">
        <v>0.99312535177293604</v>
      </c>
      <c r="G957">
        <v>1.0311168288172401</v>
      </c>
      <c r="H957">
        <v>1.00209053630297</v>
      </c>
      <c r="I957">
        <v>1.20467154458471</v>
      </c>
      <c r="J957">
        <v>0.64179464501085504</v>
      </c>
      <c r="K957">
        <v>0.97591862989466904</v>
      </c>
      <c r="L957">
        <v>3683.2150619710601</v>
      </c>
      <c r="M957">
        <v>56.178663909713002</v>
      </c>
      <c r="O957">
        <v>65.479605752782504</v>
      </c>
      <c r="P957">
        <v>-3.5989116030128297E-2</v>
      </c>
      <c r="Q957">
        <v>0.83221018794329704</v>
      </c>
      <c r="R957">
        <v>7.6519259936199499E-2</v>
      </c>
      <c r="S957" t="s">
        <v>2283</v>
      </c>
      <c r="T957" t="s">
        <v>2650</v>
      </c>
      <c r="U957" t="s">
        <v>2650</v>
      </c>
      <c r="V957" t="s">
        <v>2650</v>
      </c>
      <c r="W957" t="s">
        <v>3607</v>
      </c>
      <c r="X957">
        <v>1</v>
      </c>
      <c r="Y957" t="s">
        <v>4919</v>
      </c>
      <c r="Z957" t="s">
        <v>6237</v>
      </c>
      <c r="AA957">
        <v>0.97534830638356007</v>
      </c>
      <c r="AB957" t="str">
        <f>HYPERLINK("Melting_Curves/meltCurve_Q6ULP2_5_AFTPH.pdf", "Melting_Curves/meltCurve_Q6ULP2_5_AFTPH.pdf")</f>
        <v>Melting_Curves/meltCurve_Q6ULP2_5_AFTPH.pdf</v>
      </c>
    </row>
    <row r="958" spans="1:28" x14ac:dyDescent="0.25">
      <c r="A958" t="s">
        <v>962</v>
      </c>
      <c r="B958">
        <v>1</v>
      </c>
      <c r="C958">
        <v>0.690528109028961</v>
      </c>
      <c r="D958">
        <v>1.5281090289608199</v>
      </c>
      <c r="E958">
        <v>1.47015332197615</v>
      </c>
      <c r="F958">
        <v>1.7803407155025599</v>
      </c>
      <c r="G958">
        <v>1.45468483816014</v>
      </c>
      <c r="H958">
        <v>1.3031686541737699</v>
      </c>
      <c r="I958">
        <v>2.06865417376491</v>
      </c>
      <c r="J958">
        <v>1.0680068143100501</v>
      </c>
      <c r="K958">
        <v>1.4519591141396899</v>
      </c>
      <c r="L958">
        <v>11153.567896958701</v>
      </c>
      <c r="M958">
        <v>250</v>
      </c>
      <c r="O958">
        <v>44.611397116874898</v>
      </c>
      <c r="P958">
        <v>0.70049333435514105</v>
      </c>
      <c r="Q958">
        <v>1.5</v>
      </c>
      <c r="R958">
        <v>0.47854567426058098</v>
      </c>
      <c r="S958" t="s">
        <v>2284</v>
      </c>
      <c r="T958" t="s">
        <v>2650</v>
      </c>
      <c r="U958" t="s">
        <v>2650</v>
      </c>
      <c r="V958" t="s">
        <v>2650</v>
      </c>
      <c r="W958" t="s">
        <v>3608</v>
      </c>
      <c r="X958">
        <v>2</v>
      </c>
      <c r="Y958" t="s">
        <v>4920</v>
      </c>
      <c r="Z958" t="s">
        <v>6238</v>
      </c>
      <c r="AA958">
        <v>1.423056324859943</v>
      </c>
      <c r="AB958" t="str">
        <f>HYPERLINK("Melting_Curves/meltCurve_Q6UWP8_SBSN.pdf", "Melting_Curves/meltCurve_Q6UWP8_SBSN.pdf")</f>
        <v>Melting_Curves/meltCurve_Q6UWP8_SBSN.pdf</v>
      </c>
    </row>
    <row r="959" spans="1:28" x14ac:dyDescent="0.25">
      <c r="A959" t="s">
        <v>963</v>
      </c>
      <c r="B959">
        <v>1</v>
      </c>
      <c r="C959">
        <v>0.79038082731451098</v>
      </c>
      <c r="D959">
        <v>1.1737934996717001</v>
      </c>
      <c r="E959">
        <v>1.4436556139198999</v>
      </c>
      <c r="F959">
        <v>1.35062376887722</v>
      </c>
      <c r="G959">
        <v>1.30966841759685</v>
      </c>
      <c r="H959">
        <v>1.39592908732764</v>
      </c>
      <c r="I959">
        <v>2.07333388049901</v>
      </c>
      <c r="J959">
        <v>1.13037590282337</v>
      </c>
      <c r="K959">
        <v>3.0676707156927101</v>
      </c>
      <c r="L959">
        <v>1694.95580735509</v>
      </c>
      <c r="M959">
        <v>35.837917206173202</v>
      </c>
      <c r="O959">
        <v>47.1485065571311</v>
      </c>
      <c r="P959">
        <v>9.5013699398420207E-2</v>
      </c>
      <c r="Q959">
        <v>1.5</v>
      </c>
      <c r="R959">
        <v>0.21010517957588001</v>
      </c>
      <c r="S959" t="s">
        <v>2285</v>
      </c>
      <c r="T959" t="s">
        <v>2650</v>
      </c>
      <c r="U959" t="s">
        <v>2650</v>
      </c>
      <c r="V959" t="s">
        <v>2650</v>
      </c>
      <c r="W959" t="s">
        <v>3609</v>
      </c>
      <c r="X959">
        <v>2</v>
      </c>
      <c r="Y959" t="s">
        <v>4921</v>
      </c>
      <c r="Z959" t="s">
        <v>6239</v>
      </c>
      <c r="AA959">
        <v>1.376353267844344</v>
      </c>
      <c r="AB959" t="str">
        <f>HYPERLINK("Melting_Curves/meltCurve_Q6UWW0_LCN15.pdf", "Melting_Curves/meltCurve_Q6UWW0_LCN15.pdf")</f>
        <v>Melting_Curves/meltCurve_Q6UWW0_LCN15.pdf</v>
      </c>
    </row>
    <row r="960" spans="1:28" x14ac:dyDescent="0.25">
      <c r="A960" t="s">
        <v>964</v>
      </c>
      <c r="B960">
        <v>1</v>
      </c>
      <c r="C960">
        <v>0.82350156580001499</v>
      </c>
      <c r="D960">
        <v>1.2730318257956501</v>
      </c>
      <c r="E960">
        <v>1.65440730221154</v>
      </c>
      <c r="F960">
        <v>1.4998907581385199</v>
      </c>
      <c r="G960">
        <v>1.6018498288544201</v>
      </c>
      <c r="H960">
        <v>1.56737795256476</v>
      </c>
      <c r="I960">
        <v>1.9412278785230499</v>
      </c>
      <c r="J960">
        <v>1.17527249775447</v>
      </c>
      <c r="K960">
        <v>1.66399631005268</v>
      </c>
      <c r="L960">
        <v>11491.5001907772</v>
      </c>
      <c r="M960">
        <v>250</v>
      </c>
      <c r="O960">
        <v>45.963059362009098</v>
      </c>
      <c r="P960">
        <v>0.67989382235784901</v>
      </c>
      <c r="Q960">
        <v>1.5</v>
      </c>
      <c r="R960">
        <v>0.62590115858544404</v>
      </c>
      <c r="S960" t="s">
        <v>2286</v>
      </c>
      <c r="T960" t="s">
        <v>2650</v>
      </c>
      <c r="U960" t="s">
        <v>2650</v>
      </c>
      <c r="V960" t="s">
        <v>2650</v>
      </c>
      <c r="W960" t="s">
        <v>3610</v>
      </c>
      <c r="X960">
        <v>5</v>
      </c>
      <c r="Y960" t="s">
        <v>4922</v>
      </c>
      <c r="Z960" t="s">
        <v>6240</v>
      </c>
      <c r="AA960">
        <v>1.400526319140212</v>
      </c>
      <c r="AB960" t="str">
        <f>HYPERLINK("Melting_Curves/meltCurve_Q6UX06_OLFM4.pdf", "Melting_Curves/meltCurve_Q6UX06_OLFM4.pdf")</f>
        <v>Melting_Curves/meltCurve_Q6UX06_OLFM4.pdf</v>
      </c>
    </row>
    <row r="961" spans="1:28" x14ac:dyDescent="0.25">
      <c r="A961" t="s">
        <v>965</v>
      </c>
      <c r="B961">
        <v>1</v>
      </c>
      <c r="C961">
        <v>0.74073359073359102</v>
      </c>
      <c r="D961">
        <v>1.2175434362934401</v>
      </c>
      <c r="E961">
        <v>1.5557432432432401</v>
      </c>
      <c r="F961">
        <v>1.2164575289575299</v>
      </c>
      <c r="G961">
        <v>1.4650096525096501</v>
      </c>
      <c r="H961">
        <v>1.54946911196911</v>
      </c>
      <c r="I961">
        <v>1.7537403474903499</v>
      </c>
      <c r="J961">
        <v>1.0871621621621601</v>
      </c>
      <c r="K961">
        <v>1.5460907335907299</v>
      </c>
      <c r="L961">
        <v>11503.714424829101</v>
      </c>
      <c r="M961">
        <v>250</v>
      </c>
      <c r="O961">
        <v>46.011912925874398</v>
      </c>
      <c r="P961">
        <v>0.61584842476339796</v>
      </c>
      <c r="Q961">
        <v>1.4533818262595299</v>
      </c>
      <c r="R961">
        <v>0.57327606903057804</v>
      </c>
      <c r="S961" t="s">
        <v>2287</v>
      </c>
      <c r="T961" t="s">
        <v>2650</v>
      </c>
      <c r="U961" t="s">
        <v>2650</v>
      </c>
      <c r="V961" t="s">
        <v>2650</v>
      </c>
      <c r="W961" t="s">
        <v>3611</v>
      </c>
      <c r="X961">
        <v>2</v>
      </c>
      <c r="Y961" t="s">
        <v>4923</v>
      </c>
      <c r="Z961" t="s">
        <v>6241</v>
      </c>
      <c r="AA961">
        <v>1.36244430763376</v>
      </c>
      <c r="AB961" t="str">
        <f>HYPERLINK("Melting_Curves/meltCurve_Q6UX71_2_PLXDC2.pdf", "Melting_Curves/meltCurve_Q6UX71_2_PLXDC2.pdf")</f>
        <v>Melting_Curves/meltCurve_Q6UX71_2_PLXDC2.pdf</v>
      </c>
    </row>
    <row r="962" spans="1:28" x14ac:dyDescent="0.25">
      <c r="A962" t="s">
        <v>966</v>
      </c>
      <c r="B962">
        <v>1</v>
      </c>
      <c r="C962">
        <v>0.71973501618978397</v>
      </c>
      <c r="D962">
        <v>1.1426518205246801</v>
      </c>
      <c r="E962">
        <v>1.38463952950506</v>
      </c>
      <c r="F962">
        <v>1.0977995110024401</v>
      </c>
      <c r="G962">
        <v>1.1914854952752301</v>
      </c>
      <c r="H962">
        <v>0.960070706403225</v>
      </c>
      <c r="I962">
        <v>1.0921165664441901</v>
      </c>
      <c r="J962">
        <v>0.74312760192955796</v>
      </c>
      <c r="K962">
        <v>1.0115971717438701</v>
      </c>
      <c r="L962">
        <v>15000</v>
      </c>
      <c r="M962">
        <v>229.31694128536901</v>
      </c>
      <c r="O962">
        <v>65.406689874798005</v>
      </c>
      <c r="P962">
        <v>-0.10721097609558899</v>
      </c>
      <c r="Q962">
        <v>0.87768346011102905</v>
      </c>
      <c r="R962">
        <v>5.0388327801671899E-2</v>
      </c>
      <c r="S962" t="s">
        <v>2288</v>
      </c>
      <c r="T962" t="s">
        <v>2650</v>
      </c>
      <c r="U962" t="s">
        <v>2650</v>
      </c>
      <c r="V962" t="s">
        <v>2650</v>
      </c>
      <c r="W962" t="s">
        <v>3612</v>
      </c>
      <c r="X962">
        <v>7</v>
      </c>
      <c r="Y962" t="s">
        <v>4924</v>
      </c>
      <c r="Z962" t="s">
        <v>6242</v>
      </c>
      <c r="AA962">
        <v>0.98130899460498588</v>
      </c>
      <c r="AB962" t="str">
        <f>HYPERLINK("Melting_Curves/meltCurve_Q6UXD5_6_SEZ6L2.pdf", "Melting_Curves/meltCurve_Q6UXD5_6_SEZ6L2.pdf")</f>
        <v>Melting_Curves/meltCurve_Q6UXD5_6_SEZ6L2.pdf</v>
      </c>
    </row>
    <row r="963" spans="1:28" x14ac:dyDescent="0.25">
      <c r="A963" t="s">
        <v>967</v>
      </c>
      <c r="B963">
        <v>1</v>
      </c>
      <c r="C963">
        <v>0.71626628220817801</v>
      </c>
      <c r="D963">
        <v>1.1257145731002001</v>
      </c>
      <c r="E963">
        <v>1.2821243566746601</v>
      </c>
      <c r="F963">
        <v>0.997217146401569</v>
      </c>
      <c r="G963">
        <v>1.1147172721329099</v>
      </c>
      <c r="H963">
        <v>1.0454979799165101</v>
      </c>
      <c r="I963">
        <v>1.2233323833632299</v>
      </c>
      <c r="J963">
        <v>0.76181455465960302</v>
      </c>
      <c r="K963">
        <v>1.04482741278436</v>
      </c>
      <c r="L963">
        <v>853.12396923803794</v>
      </c>
      <c r="M963">
        <v>1.0000000000287501E-5</v>
      </c>
      <c r="Q963">
        <v>1.8726753242076798E-2</v>
      </c>
      <c r="R963">
        <v>-3.3455309548741999E-2</v>
      </c>
      <c r="S963" t="s">
        <v>2289</v>
      </c>
      <c r="T963" t="s">
        <v>2650</v>
      </c>
      <c r="U963" t="s">
        <v>2650</v>
      </c>
      <c r="V963" t="s">
        <v>2650</v>
      </c>
      <c r="W963" t="s">
        <v>3613</v>
      </c>
      <c r="X963">
        <v>14</v>
      </c>
      <c r="Y963" t="s">
        <v>4925</v>
      </c>
      <c r="Z963" t="s">
        <v>6243</v>
      </c>
      <c r="AA963">
        <v>0.99999917058539556</v>
      </c>
      <c r="AB963" t="str">
        <f>HYPERLINK("Melting_Curves/meltCurve_Q6UXI9_NPNT.pdf", "Melting_Curves/meltCurve_Q6UXI9_NPNT.pdf")</f>
        <v>Melting_Curves/meltCurve_Q6UXI9_NPNT.pdf</v>
      </c>
    </row>
    <row r="964" spans="1:28" x14ac:dyDescent="0.25">
      <c r="A964" t="s">
        <v>968</v>
      </c>
      <c r="B964">
        <v>1</v>
      </c>
      <c r="C964">
        <v>1.9337243401759501</v>
      </c>
      <c r="D964">
        <v>2.4863550112127002</v>
      </c>
      <c r="E964">
        <v>3.52803174055546</v>
      </c>
      <c r="F964">
        <v>4.1362773848542398</v>
      </c>
      <c r="G964">
        <v>3.0703467310677901</v>
      </c>
      <c r="H964">
        <v>3.4900810764188401</v>
      </c>
      <c r="I964">
        <v>4.3018802829049498</v>
      </c>
      <c r="J964">
        <v>3.47973089529067</v>
      </c>
      <c r="K964">
        <v>3.0579610143177498</v>
      </c>
      <c r="L964">
        <v>10233.1832492255</v>
      </c>
      <c r="M964">
        <v>250</v>
      </c>
      <c r="O964">
        <v>40.930129944163902</v>
      </c>
      <c r="P964">
        <v>0.76349653666298101</v>
      </c>
      <c r="Q964">
        <v>1.5</v>
      </c>
      <c r="R964">
        <v>-2.60138307729164</v>
      </c>
      <c r="S964" t="s">
        <v>2290</v>
      </c>
      <c r="T964" t="s">
        <v>2650</v>
      </c>
      <c r="U964" t="s">
        <v>2650</v>
      </c>
      <c r="V964" t="s">
        <v>2650</v>
      </c>
      <c r="W964" t="s">
        <v>3614</v>
      </c>
      <c r="X964">
        <v>1</v>
      </c>
      <c r="Y964" t="s">
        <v>4926</v>
      </c>
      <c r="Z964" t="s">
        <v>6244</v>
      </c>
      <c r="AA964">
        <v>1.4844109427309251</v>
      </c>
      <c r="AB964" t="str">
        <f>HYPERLINK("Melting_Curves/meltCurve_Q6UXK5_LRRN1.pdf", "Melting_Curves/meltCurve_Q6UXK5_LRRN1.pdf")</f>
        <v>Melting_Curves/meltCurve_Q6UXK5_LRRN1.pdf</v>
      </c>
    </row>
    <row r="965" spans="1:28" x14ac:dyDescent="0.25">
      <c r="A965" t="s">
        <v>969</v>
      </c>
      <c r="B965">
        <v>1</v>
      </c>
      <c r="C965">
        <v>1.62843595051268</v>
      </c>
      <c r="D965">
        <v>3.5948105714148202</v>
      </c>
      <c r="E965">
        <v>4.9879651470658999</v>
      </c>
      <c r="F965">
        <v>3.5305444567467399</v>
      </c>
      <c r="G965">
        <v>3.9897944447118898</v>
      </c>
      <c r="H965">
        <v>3.2303952245703602</v>
      </c>
      <c r="I965">
        <v>3.8193809271650698</v>
      </c>
      <c r="J965">
        <v>2.6734222307803401</v>
      </c>
      <c r="K965">
        <v>3.6114186684638701</v>
      </c>
      <c r="L965">
        <v>89.660398806688804</v>
      </c>
      <c r="M965">
        <v>44.825279190320202</v>
      </c>
      <c r="Q965">
        <v>1.5</v>
      </c>
      <c r="R965">
        <v>-2.3822103675032298</v>
      </c>
      <c r="S965" t="s">
        <v>2291</v>
      </c>
      <c r="T965" t="s">
        <v>2650</v>
      </c>
      <c r="U965" t="s">
        <v>2650</v>
      </c>
      <c r="V965" t="s">
        <v>2650</v>
      </c>
      <c r="W965" t="s">
        <v>3615</v>
      </c>
      <c r="X965">
        <v>1</v>
      </c>
      <c r="Y965" t="s">
        <v>4927</v>
      </c>
      <c r="Z965" t="s">
        <v>6245</v>
      </c>
      <c r="AA965">
        <v>1.5</v>
      </c>
      <c r="AB965" t="str">
        <f>HYPERLINK("Melting_Curves/meltCurve_Q6UXY1_2_BAIAP2L2.pdf", "Melting_Curves/meltCurve_Q6UXY1_2_BAIAP2L2.pdf")</f>
        <v>Melting_Curves/meltCurve_Q6UXY1_2_BAIAP2L2.pdf</v>
      </c>
    </row>
    <row r="966" spans="1:28" x14ac:dyDescent="0.25">
      <c r="A966" t="s">
        <v>970</v>
      </c>
      <c r="B966">
        <v>1</v>
      </c>
      <c r="C966">
        <v>0.72764172412621897</v>
      </c>
      <c r="D966">
        <v>1.2152610305356499</v>
      </c>
      <c r="E966">
        <v>1.2534390815529399</v>
      </c>
      <c r="F966">
        <v>1.0048741550898399</v>
      </c>
      <c r="G966">
        <v>0.97399884514792301</v>
      </c>
      <c r="H966">
        <v>0.92260792771984601</v>
      </c>
      <c r="I966">
        <v>1.0660473489351601</v>
      </c>
      <c r="J966">
        <v>0.63572908528922301</v>
      </c>
      <c r="K966">
        <v>0.89774464182602498</v>
      </c>
      <c r="L966">
        <v>8441.8926421250999</v>
      </c>
      <c r="M966">
        <v>129.237171015965</v>
      </c>
      <c r="O966">
        <v>65.305293638326106</v>
      </c>
      <c r="P966">
        <v>-0.114982646433601</v>
      </c>
      <c r="Q966">
        <v>0.767590839060588</v>
      </c>
      <c r="R966">
        <v>0.288263099230612</v>
      </c>
      <c r="S966" t="s">
        <v>2292</v>
      </c>
      <c r="T966" t="s">
        <v>2650</v>
      </c>
      <c r="U966" t="s">
        <v>2650</v>
      </c>
      <c r="V966" t="s">
        <v>2650</v>
      </c>
      <c r="W966" t="s">
        <v>3616</v>
      </c>
      <c r="X966">
        <v>2</v>
      </c>
      <c r="Y966" t="s">
        <v>4928</v>
      </c>
      <c r="Z966" t="s">
        <v>6246</v>
      </c>
      <c r="AA966">
        <v>0.96385035010706621</v>
      </c>
      <c r="AB966" t="str">
        <f>HYPERLINK("Melting_Curves/meltCurve_Q6UY27_PATE2.pdf", "Melting_Curves/meltCurve_Q6UY27_PATE2.pdf")</f>
        <v>Melting_Curves/meltCurve_Q6UY27_PATE2.pdf</v>
      </c>
    </row>
    <row r="967" spans="1:28" x14ac:dyDescent="0.25">
      <c r="A967" t="s">
        <v>971</v>
      </c>
      <c r="B967">
        <v>1</v>
      </c>
      <c r="C967">
        <v>0.87487494163943202</v>
      </c>
      <c r="D967">
        <v>1.34222637230708</v>
      </c>
      <c r="E967">
        <v>1.81364636830521</v>
      </c>
      <c r="F967">
        <v>1.2986060161408699</v>
      </c>
      <c r="G967">
        <v>1.5237777629560501</v>
      </c>
      <c r="H967">
        <v>1.3280197425465201</v>
      </c>
      <c r="I967">
        <v>1.86933902487828</v>
      </c>
      <c r="J967">
        <v>1.1059827919695899</v>
      </c>
      <c r="K967">
        <v>1.6303608350563601</v>
      </c>
      <c r="L967">
        <v>11464.3816948848</v>
      </c>
      <c r="M967">
        <v>250</v>
      </c>
      <c r="O967">
        <v>45.854592962571402</v>
      </c>
      <c r="P967">
        <v>0.68150208159829195</v>
      </c>
      <c r="Q967">
        <v>1.5</v>
      </c>
      <c r="R967">
        <v>0.50474443905830502</v>
      </c>
      <c r="S967" t="s">
        <v>2293</v>
      </c>
      <c r="T967" t="s">
        <v>2650</v>
      </c>
      <c r="U967" t="s">
        <v>2650</v>
      </c>
      <c r="V967" t="s">
        <v>2650</v>
      </c>
      <c r="W967" t="s">
        <v>3617</v>
      </c>
      <c r="X967">
        <v>44</v>
      </c>
      <c r="Y967" t="s">
        <v>4929</v>
      </c>
      <c r="Z967" t="s">
        <v>6247</v>
      </c>
      <c r="AA967">
        <v>1.4023343140514479</v>
      </c>
      <c r="AB967" t="str">
        <f>HYPERLINK("Melting_Curves/meltCurve_Q6W4X9_MUC6.pdf", "Melting_Curves/meltCurve_Q6W4X9_MUC6.pdf")</f>
        <v>Melting_Curves/meltCurve_Q6W4X9_MUC6.pdf</v>
      </c>
    </row>
    <row r="968" spans="1:28" x14ac:dyDescent="0.25">
      <c r="A968" t="s">
        <v>972</v>
      </c>
      <c r="B968">
        <v>1</v>
      </c>
      <c r="C968">
        <v>0.85941864854662098</v>
      </c>
      <c r="D968">
        <v>1.0372970932427299</v>
      </c>
      <c r="E968">
        <v>1.1582483956209899</v>
      </c>
      <c r="F968">
        <v>1.02680256700642</v>
      </c>
      <c r="G968">
        <v>0.98225745564363898</v>
      </c>
      <c r="H968">
        <v>0.95651189127972802</v>
      </c>
      <c r="I968">
        <v>1.16700641751604</v>
      </c>
      <c r="J968">
        <v>0.85405813514533802</v>
      </c>
      <c r="K968">
        <v>0.98844847112117795</v>
      </c>
      <c r="L968">
        <v>1448.9843853623599</v>
      </c>
      <c r="M968">
        <v>19.953637435327</v>
      </c>
      <c r="Q968">
        <v>0.88661731438120195</v>
      </c>
      <c r="R968">
        <v>2.11694874185063E-2</v>
      </c>
      <c r="S968" t="s">
        <v>2294</v>
      </c>
      <c r="T968" t="s">
        <v>2650</v>
      </c>
      <c r="U968" t="s">
        <v>2650</v>
      </c>
      <c r="V968" t="s">
        <v>2650</v>
      </c>
      <c r="W968" t="s">
        <v>3618</v>
      </c>
      <c r="X968">
        <v>4</v>
      </c>
      <c r="Y968" t="s">
        <v>4930</v>
      </c>
      <c r="Z968" t="s">
        <v>6248</v>
      </c>
      <c r="AA968">
        <v>0.99549988155278302</v>
      </c>
      <c r="AB968" t="str">
        <f>HYPERLINK("Melting_Curves/meltCurve_Q6WN34_CHRDL2.pdf", "Melting_Curves/meltCurve_Q6WN34_CHRDL2.pdf")</f>
        <v>Melting_Curves/meltCurve_Q6WN34_CHRDL2.pdf</v>
      </c>
    </row>
    <row r="969" spans="1:28" x14ac:dyDescent="0.25">
      <c r="A969" t="s">
        <v>973</v>
      </c>
      <c r="B969">
        <v>1</v>
      </c>
      <c r="C969">
        <v>0.99113933976319302</v>
      </c>
      <c r="D969">
        <v>1.71724300164667</v>
      </c>
      <c r="E969">
        <v>1.6998353328628599</v>
      </c>
      <c r="F969">
        <v>1.2986748216106001</v>
      </c>
      <c r="G969">
        <v>1.84082176742727</v>
      </c>
      <c r="H969">
        <v>1.66274602054419</v>
      </c>
      <c r="I969">
        <v>2.6949737316709799</v>
      </c>
      <c r="J969">
        <v>1.42468438798714</v>
      </c>
      <c r="K969">
        <v>1.1960323061240501</v>
      </c>
      <c r="L969">
        <v>11030.5122166767</v>
      </c>
      <c r="M969">
        <v>250</v>
      </c>
      <c r="O969">
        <v>44.1192253727964</v>
      </c>
      <c r="P969">
        <v>0.70830799475675199</v>
      </c>
      <c r="Q969">
        <v>1.5</v>
      </c>
      <c r="R969">
        <v>0.21125893372886501</v>
      </c>
      <c r="S969" t="s">
        <v>2295</v>
      </c>
      <c r="T969" t="s">
        <v>2650</v>
      </c>
      <c r="U969" t="s">
        <v>2650</v>
      </c>
      <c r="V969" t="s">
        <v>2650</v>
      </c>
      <c r="W969" t="s">
        <v>3619</v>
      </c>
      <c r="X969">
        <v>1</v>
      </c>
      <c r="Y969" t="s">
        <v>4931</v>
      </c>
      <c r="Z969" t="s">
        <v>6249</v>
      </c>
      <c r="AA969">
        <v>1.4312604688003261</v>
      </c>
      <c r="AB969" t="str">
        <f>HYPERLINK("Melting_Curves/meltCurve_Q6XQN6_NAPRT.pdf", "Melting_Curves/meltCurve_Q6XQN6_NAPRT.pdf")</f>
        <v>Melting_Curves/meltCurve_Q6XQN6_NAPRT.pdf</v>
      </c>
    </row>
    <row r="970" spans="1:28" x14ac:dyDescent="0.25">
      <c r="A970" t="s">
        <v>974</v>
      </c>
      <c r="B970">
        <v>1</v>
      </c>
      <c r="C970">
        <v>0.68204662188858201</v>
      </c>
      <c r="D970">
        <v>1.12627419992098</v>
      </c>
      <c r="E970">
        <v>1.4113789016199101</v>
      </c>
      <c r="F970">
        <v>1.17186882655077</v>
      </c>
      <c r="G970">
        <v>1.0903990517582001</v>
      </c>
      <c r="H970">
        <v>1.19375740813908</v>
      </c>
      <c r="I970">
        <v>1.82117740023706</v>
      </c>
      <c r="J970">
        <v>0.62782299486368998</v>
      </c>
      <c r="K970">
        <v>1.2998024496246501</v>
      </c>
      <c r="L970">
        <v>11491.3431640297</v>
      </c>
      <c r="M970">
        <v>250</v>
      </c>
      <c r="O970">
        <v>45.962431305248302</v>
      </c>
      <c r="P970">
        <v>0.31396119990370402</v>
      </c>
      <c r="Q970">
        <v>1.23088672041531</v>
      </c>
      <c r="R970">
        <v>0.175420045595228</v>
      </c>
      <c r="S970" t="s">
        <v>2296</v>
      </c>
      <c r="T970" t="s">
        <v>2650</v>
      </c>
      <c r="U970" t="s">
        <v>2650</v>
      </c>
      <c r="V970" t="s">
        <v>2650</v>
      </c>
      <c r="W970" t="s">
        <v>3620</v>
      </c>
      <c r="X970">
        <v>1</v>
      </c>
      <c r="Y970" t="s">
        <v>4932</v>
      </c>
      <c r="Z970" t="s">
        <v>6250</v>
      </c>
      <c r="AA970">
        <v>1.184957250839209</v>
      </c>
      <c r="AB970" t="str">
        <f>HYPERLINK("Melting_Curves/meltCurve_Q6Y7W6_4_GIGYF2.pdf", "Melting_Curves/meltCurve_Q6Y7W6_4_GIGYF2.pdf")</f>
        <v>Melting_Curves/meltCurve_Q6Y7W6_4_GIGYF2.pdf</v>
      </c>
    </row>
    <row r="971" spans="1:28" x14ac:dyDescent="0.25">
      <c r="A971" t="s">
        <v>975</v>
      </c>
      <c r="B971">
        <v>1</v>
      </c>
      <c r="C971">
        <v>0.83978077186572297</v>
      </c>
      <c r="D971">
        <v>1.25640557204841</v>
      </c>
      <c r="E971">
        <v>1.82980132450331</v>
      </c>
      <c r="F971">
        <v>1.6941995889472501</v>
      </c>
      <c r="G971">
        <v>2.2543274720255799</v>
      </c>
      <c r="H971">
        <v>1.84818451701302</v>
      </c>
      <c r="I971">
        <v>2.2236355332267599</v>
      </c>
      <c r="J971">
        <v>1.78093171957068</v>
      </c>
      <c r="K971">
        <v>2.4414249828728001</v>
      </c>
      <c r="L971">
        <v>11497.642236368099</v>
      </c>
      <c r="M971">
        <v>250</v>
      </c>
      <c r="O971">
        <v>45.987625879101401</v>
      </c>
      <c r="P971">
        <v>0.67953062277593501</v>
      </c>
      <c r="Q971">
        <v>1.5</v>
      </c>
      <c r="R971">
        <v>9.5841915712185893E-2</v>
      </c>
      <c r="S971" t="s">
        <v>2297</v>
      </c>
      <c r="T971" t="s">
        <v>2650</v>
      </c>
      <c r="U971" t="s">
        <v>2650</v>
      </c>
      <c r="V971" t="s">
        <v>2650</v>
      </c>
      <c r="W971" t="s">
        <v>3621</v>
      </c>
      <c r="X971">
        <v>10</v>
      </c>
      <c r="Y971" t="s">
        <v>4933</v>
      </c>
      <c r="Z971" t="s">
        <v>6251</v>
      </c>
      <c r="AA971">
        <v>1.400116827875763</v>
      </c>
      <c r="AB971" t="str">
        <f>HYPERLINK("Melting_Curves/meltCurve_Q6YHK3_CD109.pdf", "Melting_Curves/meltCurve_Q6YHK3_CD109.pdf")</f>
        <v>Melting_Curves/meltCurve_Q6YHK3_CD109.pdf</v>
      </c>
    </row>
    <row r="972" spans="1:28" x14ac:dyDescent="0.25">
      <c r="A972" t="s">
        <v>976</v>
      </c>
      <c r="B972">
        <v>1</v>
      </c>
      <c r="C972">
        <v>0.76129819424109302</v>
      </c>
      <c r="D972">
        <v>1.11678867740361</v>
      </c>
      <c r="E972">
        <v>1.2337725719863299</v>
      </c>
      <c r="F972">
        <v>0.93645680819912103</v>
      </c>
      <c r="G972">
        <v>0.97262079062957496</v>
      </c>
      <c r="H972">
        <v>0.88160078086871596</v>
      </c>
      <c r="I972">
        <v>1.03147877013177</v>
      </c>
      <c r="J972">
        <v>0.64299658369936596</v>
      </c>
      <c r="K972">
        <v>0.86012689116642305</v>
      </c>
      <c r="L972">
        <v>15000</v>
      </c>
      <c r="M972">
        <v>229.72057399555001</v>
      </c>
      <c r="O972">
        <v>65.291771042702806</v>
      </c>
      <c r="P972">
        <v>-0.218561786045014</v>
      </c>
      <c r="Q972">
        <v>0.75151923292840705</v>
      </c>
      <c r="R972">
        <v>0.35119950620191198</v>
      </c>
      <c r="S972" t="s">
        <v>2298</v>
      </c>
      <c r="T972" t="s">
        <v>2650</v>
      </c>
      <c r="U972" t="s">
        <v>2650</v>
      </c>
      <c r="V972" t="s">
        <v>2650</v>
      </c>
      <c r="W972" t="s">
        <v>3622</v>
      </c>
      <c r="X972">
        <v>7</v>
      </c>
      <c r="Y972" t="s">
        <v>4934</v>
      </c>
      <c r="Z972" t="s">
        <v>6252</v>
      </c>
      <c r="AA972">
        <v>0.9610779040417331</v>
      </c>
      <c r="AB972" t="str">
        <f>HYPERLINK("Melting_Curves/meltCurve_Q6ZMP0_THSD4.pdf", "Melting_Curves/meltCurve_Q6ZMP0_THSD4.pdf")</f>
        <v>Melting_Curves/meltCurve_Q6ZMP0_THSD4.pdf</v>
      </c>
    </row>
    <row r="973" spans="1:28" x14ac:dyDescent="0.25">
      <c r="A973" t="s">
        <v>977</v>
      </c>
      <c r="B973">
        <v>1</v>
      </c>
      <c r="C973">
        <v>0.66631692189180902</v>
      </c>
      <c r="D973">
        <v>1.31681564023216</v>
      </c>
      <c r="E973">
        <v>1.32810487030667</v>
      </c>
      <c r="F973">
        <v>0.79659463695164201</v>
      </c>
      <c r="G973">
        <v>0.95664935651388605</v>
      </c>
      <c r="H973">
        <v>1.1850769659862099</v>
      </c>
      <c r="I973">
        <v>1.36294210617189</v>
      </c>
      <c r="J973">
        <v>0.60119798653261303</v>
      </c>
      <c r="K973">
        <v>1.0895036723201399</v>
      </c>
      <c r="L973">
        <v>11108.1127605651</v>
      </c>
      <c r="M973">
        <v>250</v>
      </c>
      <c r="O973">
        <v>44.4296076568316</v>
      </c>
      <c r="P973">
        <v>0.111976384290843</v>
      </c>
      <c r="Q973">
        <v>1.0796010690465301</v>
      </c>
      <c r="R973">
        <v>6.0447676115661E-2</v>
      </c>
      <c r="S973" t="s">
        <v>2299</v>
      </c>
      <c r="T973" t="s">
        <v>2650</v>
      </c>
      <c r="U973" t="s">
        <v>2650</v>
      </c>
      <c r="V973" t="s">
        <v>2650</v>
      </c>
      <c r="W973" t="s">
        <v>3623</v>
      </c>
      <c r="X973">
        <v>1</v>
      </c>
      <c r="Y973" t="s">
        <v>4935</v>
      </c>
      <c r="Z973" t="s">
        <v>6253</v>
      </c>
      <c r="AA973">
        <v>1.0678339338449889</v>
      </c>
      <c r="AB973" t="str">
        <f>HYPERLINK("Melting_Curves/meltCurve_Q6ZRQ5_MMS22L.pdf", "Melting_Curves/meltCurve_Q6ZRQ5_MMS22L.pdf")</f>
        <v>Melting_Curves/meltCurve_Q6ZRQ5_MMS22L.pdf</v>
      </c>
    </row>
    <row r="974" spans="1:28" x14ac:dyDescent="0.25">
      <c r="A974" t="s">
        <v>978</v>
      </c>
      <c r="B974">
        <v>1</v>
      </c>
      <c r="C974">
        <v>0.79579920843293195</v>
      </c>
      <c r="D974">
        <v>1.1209686899956901</v>
      </c>
      <c r="E974">
        <v>1.28715858771895</v>
      </c>
      <c r="F974">
        <v>0.87170343665504102</v>
      </c>
      <c r="G974">
        <v>0.85548023041655197</v>
      </c>
      <c r="H974">
        <v>0.81695991222226605</v>
      </c>
      <c r="I974">
        <v>0.94110270778635496</v>
      </c>
      <c r="J974">
        <v>0.55390101493005195</v>
      </c>
      <c r="K974">
        <v>0.77260080724166302</v>
      </c>
      <c r="L974">
        <v>985.33908443775204</v>
      </c>
      <c r="M974">
        <v>16.234683999203199</v>
      </c>
      <c r="O974">
        <v>59.794981193547002</v>
      </c>
      <c r="P974">
        <v>-2.1904174801357899E-2</v>
      </c>
      <c r="Q974">
        <v>0.67731735109993296</v>
      </c>
      <c r="R974">
        <v>0.39218608765576601</v>
      </c>
      <c r="S974" t="s">
        <v>2300</v>
      </c>
      <c r="T974" t="s">
        <v>2650</v>
      </c>
      <c r="U974" t="s">
        <v>2650</v>
      </c>
      <c r="V974" t="s">
        <v>2650</v>
      </c>
      <c r="W974" t="s">
        <v>3624</v>
      </c>
      <c r="X974">
        <v>2</v>
      </c>
      <c r="Z974" t="s">
        <v>6254</v>
      </c>
      <c r="AA974">
        <v>0.90157061189484866</v>
      </c>
      <c r="AB974" t="str">
        <f>HYPERLINK("Melting_Curves/meltCurve_Q6ZSR9_.pdf", "Melting_Curves/meltCurve_Q6ZSR9_.pdf")</f>
        <v>Melting_Curves/meltCurve_Q6ZSR9_.pdf</v>
      </c>
    </row>
    <row r="975" spans="1:28" x14ac:dyDescent="0.25">
      <c r="A975" t="s">
        <v>979</v>
      </c>
      <c r="B975">
        <v>1</v>
      </c>
      <c r="C975">
        <v>0.73729525409491803</v>
      </c>
      <c r="D975">
        <v>1.35914531709366</v>
      </c>
      <c r="E975">
        <v>1.24336763264735</v>
      </c>
      <c r="F975">
        <v>0.96711815763684705</v>
      </c>
      <c r="G975">
        <v>0.93563628727425496</v>
      </c>
      <c r="H975">
        <v>1.0362242755144899</v>
      </c>
      <c r="I975">
        <v>1.10995030099398</v>
      </c>
      <c r="J975">
        <v>0.55601637967240702</v>
      </c>
      <c r="K975">
        <v>0.86957510849783004</v>
      </c>
      <c r="L975">
        <v>15000</v>
      </c>
      <c r="M975">
        <v>229.30263031618901</v>
      </c>
      <c r="O975">
        <v>65.410773305093301</v>
      </c>
      <c r="P975">
        <v>-0.25164815524699502</v>
      </c>
      <c r="Q975">
        <v>0.71285987055112998</v>
      </c>
      <c r="R975">
        <v>0.33035715270819999</v>
      </c>
      <c r="S975" t="s">
        <v>2301</v>
      </c>
      <c r="T975" t="s">
        <v>2650</v>
      </c>
      <c r="U975" t="s">
        <v>2650</v>
      </c>
      <c r="V975" t="s">
        <v>2650</v>
      </c>
      <c r="W975" t="s">
        <v>3625</v>
      </c>
      <c r="X975">
        <v>1</v>
      </c>
      <c r="Y975" t="s">
        <v>4936</v>
      </c>
      <c r="Z975" t="s">
        <v>6255</v>
      </c>
      <c r="AA975">
        <v>0.95616163257726783</v>
      </c>
      <c r="AB975" t="str">
        <f>HYPERLINK("Melting_Curves/meltCurve_Q6ZSS7_MFSD6.pdf", "Melting_Curves/meltCurve_Q6ZSS7_MFSD6.pdf")</f>
        <v>Melting_Curves/meltCurve_Q6ZSS7_MFSD6.pdf</v>
      </c>
    </row>
    <row r="976" spans="1:28" x14ac:dyDescent="0.25">
      <c r="A976" t="s">
        <v>980</v>
      </c>
      <c r="B976">
        <v>1</v>
      </c>
      <c r="C976">
        <v>0.86147379912663802</v>
      </c>
      <c r="D976">
        <v>1.0717030567685599</v>
      </c>
      <c r="E976">
        <v>1.2898471615720499</v>
      </c>
      <c r="F976">
        <v>1.0790502183406101</v>
      </c>
      <c r="G976">
        <v>1.1445414847161599</v>
      </c>
      <c r="H976">
        <v>1.17390829694323</v>
      </c>
      <c r="I976">
        <v>1.4506550218340599</v>
      </c>
      <c r="J976">
        <v>0.99311135371179005</v>
      </c>
      <c r="K976">
        <v>1.22390829694323</v>
      </c>
      <c r="L976">
        <v>11524.399957035899</v>
      </c>
      <c r="M976">
        <v>250</v>
      </c>
      <c r="O976">
        <v>46.094649397726201</v>
      </c>
      <c r="P976">
        <v>0.26246883953417299</v>
      </c>
      <c r="Q976">
        <v>1.19357454800881</v>
      </c>
      <c r="R976">
        <v>0.40107403311811302</v>
      </c>
      <c r="S976" t="s">
        <v>2302</v>
      </c>
      <c r="T976" t="s">
        <v>2650</v>
      </c>
      <c r="U976" t="s">
        <v>2650</v>
      </c>
      <c r="V976" t="s">
        <v>2650</v>
      </c>
      <c r="W976" t="s">
        <v>3626</v>
      </c>
      <c r="X976">
        <v>1</v>
      </c>
      <c r="Y976" t="s">
        <v>4937</v>
      </c>
      <c r="Z976" t="s">
        <v>6256</v>
      </c>
      <c r="AA976">
        <v>1.154214216695105</v>
      </c>
      <c r="AB976" t="str">
        <f>HYPERLINK("Melting_Curves/meltCurve_Q6ZVM7_4_TOM1L2.pdf", "Melting_Curves/meltCurve_Q6ZVM7_4_TOM1L2.pdf")</f>
        <v>Melting_Curves/meltCurve_Q6ZVM7_4_TOM1L2.pdf</v>
      </c>
    </row>
    <row r="977" spans="1:28" x14ac:dyDescent="0.25">
      <c r="A977" t="s">
        <v>981</v>
      </c>
      <c r="B977">
        <v>1</v>
      </c>
      <c r="C977">
        <v>0.80182781941144199</v>
      </c>
      <c r="D977">
        <v>1.16715408517638</v>
      </c>
      <c r="E977">
        <v>1.38091756534454</v>
      </c>
      <c r="F977">
        <v>1.03335770425882</v>
      </c>
      <c r="G977">
        <v>1.17428258088101</v>
      </c>
      <c r="H977">
        <v>0.99442515079510096</v>
      </c>
      <c r="I977">
        <v>1.1976786693474699</v>
      </c>
      <c r="J977">
        <v>0.83237068177663998</v>
      </c>
      <c r="K977">
        <v>1.08133796380918</v>
      </c>
      <c r="L977">
        <v>11127.1404095948</v>
      </c>
      <c r="M977">
        <v>250</v>
      </c>
      <c r="O977">
        <v>44.5057069574557</v>
      </c>
      <c r="P977">
        <v>0.15123095483128601</v>
      </c>
      <c r="Q977">
        <v>1.1076902644011299</v>
      </c>
      <c r="R977">
        <v>0.17823009708889301</v>
      </c>
      <c r="S977" t="s">
        <v>2303</v>
      </c>
      <c r="T977" t="s">
        <v>2650</v>
      </c>
      <c r="U977" t="s">
        <v>2650</v>
      </c>
      <c r="V977" t="s">
        <v>2650</v>
      </c>
      <c r="W977" t="s">
        <v>3627</v>
      </c>
      <c r="X977">
        <v>5</v>
      </c>
      <c r="Y977" t="s">
        <v>4938</v>
      </c>
      <c r="Z977" t="s">
        <v>6257</v>
      </c>
      <c r="AA977">
        <v>1.0914975793536561</v>
      </c>
      <c r="AB977" t="str">
        <f>HYPERLINK("Melting_Curves/meltCurve_Q71U36_2_TUBA1A.pdf", "Melting_Curves/meltCurve_Q71U36_2_TUBA1A.pdf")</f>
        <v>Melting_Curves/meltCurve_Q71U36_2_TUBA1A.pdf</v>
      </c>
    </row>
    <row r="978" spans="1:28" x14ac:dyDescent="0.25">
      <c r="A978" t="s">
        <v>982</v>
      </c>
      <c r="B978">
        <v>1</v>
      </c>
      <c r="C978">
        <v>0.77458229848724303</v>
      </c>
      <c r="D978">
        <v>1.1706649356513901</v>
      </c>
      <c r="E978">
        <v>1.50632196884173</v>
      </c>
      <c r="F978">
        <v>1.2692199142018501</v>
      </c>
      <c r="G978">
        <v>1.2776868367577301</v>
      </c>
      <c r="H978">
        <v>1.31815872657485</v>
      </c>
      <c r="I978">
        <v>1.69217091894333</v>
      </c>
      <c r="J978">
        <v>1.0249774215398499</v>
      </c>
      <c r="K978">
        <v>1.3635132083991901</v>
      </c>
      <c r="L978">
        <v>11502.3544988086</v>
      </c>
      <c r="M978">
        <v>250</v>
      </c>
      <c r="O978">
        <v>46.006473627622903</v>
      </c>
      <c r="P978">
        <v>0.475874217331821</v>
      </c>
      <c r="Q978">
        <v>1.3502927141985299</v>
      </c>
      <c r="R978">
        <v>0.50195240246745998</v>
      </c>
      <c r="S978" t="s">
        <v>2304</v>
      </c>
      <c r="T978" t="s">
        <v>2650</v>
      </c>
      <c r="U978" t="s">
        <v>2650</v>
      </c>
      <c r="V978" t="s">
        <v>2650</v>
      </c>
      <c r="W978" t="s">
        <v>3628</v>
      </c>
      <c r="X978">
        <v>1</v>
      </c>
      <c r="Y978" t="s">
        <v>4939</v>
      </c>
      <c r="Z978" t="s">
        <v>6258</v>
      </c>
      <c r="AA978">
        <v>1.2800959181852321</v>
      </c>
      <c r="AB978" t="str">
        <f>HYPERLINK("Melting_Curves/meltCurve_Q7L1Q6_2_BZW1.pdf", "Melting_Curves/meltCurve_Q7L1Q6_2_BZW1.pdf")</f>
        <v>Melting_Curves/meltCurve_Q7L1Q6_2_BZW1.pdf</v>
      </c>
    </row>
    <row r="979" spans="1:28" x14ac:dyDescent="0.25">
      <c r="A979" t="s">
        <v>983</v>
      </c>
      <c r="B979">
        <v>1</v>
      </c>
      <c r="C979">
        <v>0.77718802284659305</v>
      </c>
      <c r="D979">
        <v>1.2672359083828499</v>
      </c>
      <c r="E979">
        <v>1.67028212081002</v>
      </c>
      <c r="F979">
        <v>1.51600992326776</v>
      </c>
      <c r="G979">
        <v>1.78982288120925</v>
      </c>
      <c r="H979">
        <v>2.1329256331852502</v>
      </c>
      <c r="I979">
        <v>3.0163272370622498</v>
      </c>
      <c r="J979">
        <v>1.6738014192580599</v>
      </c>
      <c r="K979">
        <v>2.5062597357641501</v>
      </c>
      <c r="L979">
        <v>11493.6471128127</v>
      </c>
      <c r="M979">
        <v>250</v>
      </c>
      <c r="O979">
        <v>45.971646407503002</v>
      </c>
      <c r="P979">
        <v>0.67976682358939999</v>
      </c>
      <c r="Q979">
        <v>1.5</v>
      </c>
      <c r="R979">
        <v>5.4429336616589101E-2</v>
      </c>
      <c r="S979" t="s">
        <v>2305</v>
      </c>
      <c r="T979" t="s">
        <v>2650</v>
      </c>
      <c r="U979" t="s">
        <v>2650</v>
      </c>
      <c r="V979" t="s">
        <v>2650</v>
      </c>
      <c r="W979" t="s">
        <v>3629</v>
      </c>
      <c r="X979">
        <v>3</v>
      </c>
      <c r="Y979" t="s">
        <v>4940</v>
      </c>
      <c r="Z979" t="s">
        <v>6259</v>
      </c>
      <c r="AA979">
        <v>1.400383183468882</v>
      </c>
      <c r="AB979" t="str">
        <f>HYPERLINK("Melting_Curves/meltCurve_Q7L266_ASRGL1.pdf", "Melting_Curves/meltCurve_Q7L266_ASRGL1.pdf")</f>
        <v>Melting_Curves/meltCurve_Q7L266_ASRGL1.pdf</v>
      </c>
    </row>
    <row r="980" spans="1:28" x14ac:dyDescent="0.25">
      <c r="A980" t="s">
        <v>984</v>
      </c>
      <c r="B980">
        <v>1</v>
      </c>
      <c r="C980">
        <v>0.85423825887743399</v>
      </c>
      <c r="D980">
        <v>1.2276632302405499</v>
      </c>
      <c r="E980">
        <v>1.3450744558992</v>
      </c>
      <c r="F980">
        <v>1.2686855670103101</v>
      </c>
      <c r="G980">
        <v>1.2302405498281801</v>
      </c>
      <c r="H980">
        <v>1.0890607101947301</v>
      </c>
      <c r="I980">
        <v>1.66473367697595</v>
      </c>
      <c r="J980">
        <v>0.74026345933562399</v>
      </c>
      <c r="K980">
        <v>1.2240120274914099</v>
      </c>
      <c r="L980">
        <v>11179.6701185848</v>
      </c>
      <c r="M980">
        <v>250</v>
      </c>
      <c r="O980">
        <v>44.715829074250898</v>
      </c>
      <c r="P980">
        <v>0.31272795971645301</v>
      </c>
      <c r="Q980">
        <v>1.2237421882858199</v>
      </c>
      <c r="R980">
        <v>0.211745163109093</v>
      </c>
      <c r="S980" t="s">
        <v>2306</v>
      </c>
      <c r="T980" t="s">
        <v>2650</v>
      </c>
      <c r="U980" t="s">
        <v>2650</v>
      </c>
      <c r="V980" t="s">
        <v>2650</v>
      </c>
      <c r="W980" t="s">
        <v>3630</v>
      </c>
      <c r="X980">
        <v>1</v>
      </c>
      <c r="Y980" t="s">
        <v>4941</v>
      </c>
      <c r="Z980" t="s">
        <v>6260</v>
      </c>
      <c r="AA980">
        <v>1.1885323656955911</v>
      </c>
      <c r="AB980" t="str">
        <f>HYPERLINK("Melting_Curves/meltCurve_Q7L3B6_CDC37L1.pdf", "Melting_Curves/meltCurve_Q7L3B6_CDC37L1.pdf")</f>
        <v>Melting_Curves/meltCurve_Q7L3B6_CDC37L1.pdf</v>
      </c>
    </row>
    <row r="981" spans="1:28" x14ac:dyDescent="0.25">
      <c r="A981" t="s">
        <v>985</v>
      </c>
      <c r="B981">
        <v>1</v>
      </c>
      <c r="C981">
        <v>0.94115710723192003</v>
      </c>
      <c r="D981">
        <v>1.1565087281795501</v>
      </c>
      <c r="E981">
        <v>1.6387032418952601</v>
      </c>
      <c r="F981">
        <v>1.7385536159601001</v>
      </c>
      <c r="G981">
        <v>1.96957605985037</v>
      </c>
      <c r="H981">
        <v>2.1110224438902701</v>
      </c>
      <c r="I981">
        <v>2.50214463840399</v>
      </c>
      <c r="J981">
        <v>1.7453366583541099</v>
      </c>
      <c r="K981">
        <v>2.17007481296758</v>
      </c>
      <c r="L981">
        <v>11536.1582961041</v>
      </c>
      <c r="M981">
        <v>250</v>
      </c>
      <c r="O981">
        <v>46.141680058645697</v>
      </c>
      <c r="P981">
        <v>0.67726185691910801</v>
      </c>
      <c r="Q981">
        <v>1.5</v>
      </c>
      <c r="R981">
        <v>0.116196947772492</v>
      </c>
      <c r="S981" t="s">
        <v>2307</v>
      </c>
      <c r="T981" t="s">
        <v>2650</v>
      </c>
      <c r="U981" t="s">
        <v>2650</v>
      </c>
      <c r="V981" t="s">
        <v>2650</v>
      </c>
      <c r="W981" t="s">
        <v>3631</v>
      </c>
      <c r="X981">
        <v>1</v>
      </c>
      <c r="Y981" t="s">
        <v>4942</v>
      </c>
      <c r="Z981" t="s">
        <v>6261</v>
      </c>
      <c r="AA981">
        <v>1.397548955369859</v>
      </c>
      <c r="AB981" t="str">
        <f>HYPERLINK("Melting_Curves/meltCurve_Q7L5N1_COPS6.pdf", "Melting_Curves/meltCurve_Q7L5N1_COPS6.pdf")</f>
        <v>Melting_Curves/meltCurve_Q7L5N1_COPS6.pdf</v>
      </c>
    </row>
    <row r="982" spans="1:28" x14ac:dyDescent="0.25">
      <c r="A982" t="s">
        <v>986</v>
      </c>
      <c r="B982">
        <v>1</v>
      </c>
      <c r="C982">
        <v>0.79135744879351999</v>
      </c>
      <c r="D982">
        <v>1.01373987532335</v>
      </c>
      <c r="E982">
        <v>1.1446927611212401</v>
      </c>
      <c r="F982">
        <v>0.87964886985284796</v>
      </c>
      <c r="G982">
        <v>0.98477587888554297</v>
      </c>
      <c r="H982">
        <v>0.84402697086637501</v>
      </c>
      <c r="I982">
        <v>0.87349985157542098</v>
      </c>
      <c r="J982">
        <v>0.68232899368135402</v>
      </c>
      <c r="K982">
        <v>0.78393621983800499</v>
      </c>
      <c r="L982">
        <v>1229.4601729620799</v>
      </c>
      <c r="M982">
        <v>19.9689780510143</v>
      </c>
      <c r="O982">
        <v>60.961038468087501</v>
      </c>
      <c r="P982">
        <v>-2.2913741869220801E-2</v>
      </c>
      <c r="Q982">
        <v>0.720206062265902</v>
      </c>
      <c r="R982">
        <v>0.44783667895400697</v>
      </c>
      <c r="S982" t="s">
        <v>2308</v>
      </c>
      <c r="T982" t="s">
        <v>2650</v>
      </c>
      <c r="U982" t="s">
        <v>2650</v>
      </c>
      <c r="V982" t="s">
        <v>2650</v>
      </c>
      <c r="W982" t="s">
        <v>3632</v>
      </c>
      <c r="X982">
        <v>1</v>
      </c>
      <c r="Y982" t="s">
        <v>4943</v>
      </c>
      <c r="Z982" t="s">
        <v>6262</v>
      </c>
      <c r="AA982">
        <v>0.92260980173144036</v>
      </c>
      <c r="AB982" t="str">
        <f>HYPERLINK("Melting_Curves/meltCurve_Q7L804_RAB11FIP2.pdf", "Melting_Curves/meltCurve_Q7L804_RAB11FIP2.pdf")</f>
        <v>Melting_Curves/meltCurve_Q7L804_RAB11FIP2.pdf</v>
      </c>
    </row>
    <row r="983" spans="1:28" x14ac:dyDescent="0.25">
      <c r="A983" t="s">
        <v>987</v>
      </c>
      <c r="B983">
        <v>1</v>
      </c>
      <c r="C983">
        <v>1.0611296006264701</v>
      </c>
      <c r="D983">
        <v>1.14907987470634</v>
      </c>
      <c r="E983">
        <v>1.4537490211433</v>
      </c>
      <c r="F983">
        <v>1.3511158966327299</v>
      </c>
      <c r="G983">
        <v>1.33202819107283</v>
      </c>
      <c r="H983">
        <v>1.26732576350822</v>
      </c>
      <c r="I983">
        <v>1.4707321848081401</v>
      </c>
      <c r="J983">
        <v>1.2116777603758799</v>
      </c>
      <c r="K983">
        <v>1.4587901331245099</v>
      </c>
      <c r="L983">
        <v>7288.4507684902901</v>
      </c>
      <c r="M983">
        <v>158.080557795376</v>
      </c>
      <c r="O983">
        <v>46.098548773425399</v>
      </c>
      <c r="P983">
        <v>0.31173995077176397</v>
      </c>
      <c r="Q983">
        <v>1.3636312944129401</v>
      </c>
      <c r="R983">
        <v>0.74091741052828697</v>
      </c>
      <c r="S983" t="s">
        <v>2309</v>
      </c>
      <c r="T983" t="s">
        <v>2650</v>
      </c>
      <c r="U983" t="s">
        <v>2650</v>
      </c>
      <c r="V983" t="s">
        <v>2650</v>
      </c>
      <c r="W983" t="s">
        <v>3633</v>
      </c>
      <c r="X983">
        <v>4</v>
      </c>
      <c r="Y983" t="s">
        <v>4944</v>
      </c>
      <c r="Z983" t="s">
        <v>6263</v>
      </c>
      <c r="AA983">
        <v>1.2895474675986149</v>
      </c>
      <c r="AB983" t="str">
        <f>HYPERLINK("Melting_Curves/meltCurve_Q7Z304_MAMDC2.pdf", "Melting_Curves/meltCurve_Q7Z304_MAMDC2.pdf")</f>
        <v>Melting_Curves/meltCurve_Q7Z304_MAMDC2.pdf</v>
      </c>
    </row>
    <row r="984" spans="1:28" x14ac:dyDescent="0.25">
      <c r="A984" t="s">
        <v>988</v>
      </c>
      <c r="B984">
        <v>1</v>
      </c>
      <c r="C984">
        <v>0.79091307951055401</v>
      </c>
      <c r="D984">
        <v>1.2246867839906399</v>
      </c>
      <c r="E984">
        <v>1.2906449568566301</v>
      </c>
      <c r="F984">
        <v>1.0433871203627001</v>
      </c>
      <c r="G984">
        <v>1.05771949495442</v>
      </c>
      <c r="H984">
        <v>1.0650319309706</v>
      </c>
      <c r="I984">
        <v>1.21303563593819</v>
      </c>
      <c r="J984">
        <v>0.787793106810315</v>
      </c>
      <c r="K984">
        <v>1.1232389216594401</v>
      </c>
      <c r="L984">
        <v>11112.108125659701</v>
      </c>
      <c r="M984">
        <v>250</v>
      </c>
      <c r="O984">
        <v>44.4455880685042</v>
      </c>
      <c r="P984">
        <v>0.14159139890934699</v>
      </c>
      <c r="Q984">
        <v>1.10068980778779</v>
      </c>
      <c r="R984">
        <v>0.17635471232097399</v>
      </c>
      <c r="S984" t="s">
        <v>2310</v>
      </c>
      <c r="T984" t="s">
        <v>2650</v>
      </c>
      <c r="U984" t="s">
        <v>2650</v>
      </c>
      <c r="V984" t="s">
        <v>2650</v>
      </c>
      <c r="W984" t="s">
        <v>3634</v>
      </c>
      <c r="X984">
        <v>1</v>
      </c>
      <c r="Y984" t="s">
        <v>4945</v>
      </c>
      <c r="Z984" t="s">
        <v>6264</v>
      </c>
      <c r="AA984">
        <v>1.0857515595594489</v>
      </c>
      <c r="AB984" t="str">
        <f>HYPERLINK("Melting_Curves/meltCurve_Q7Z4H3_2_HDDC2.pdf", "Melting_Curves/meltCurve_Q7Z4H3_2_HDDC2.pdf")</f>
        <v>Melting_Curves/meltCurve_Q7Z4H3_2_HDDC2.pdf</v>
      </c>
    </row>
    <row r="985" spans="1:28" x14ac:dyDescent="0.25">
      <c r="A985" t="s">
        <v>989</v>
      </c>
      <c r="B985">
        <v>1</v>
      </c>
      <c r="C985">
        <v>0.78660862354892203</v>
      </c>
      <c r="D985">
        <v>1.54241293532338</v>
      </c>
      <c r="E985">
        <v>2.35145107794362</v>
      </c>
      <c r="F985">
        <v>2.2763681592039799</v>
      </c>
      <c r="G985">
        <v>3.3972636815920398</v>
      </c>
      <c r="H985">
        <v>3.3298507462686602</v>
      </c>
      <c r="I985">
        <v>4.4046434494195701</v>
      </c>
      <c r="J985">
        <v>3.0722222222222202</v>
      </c>
      <c r="K985">
        <v>4.4257877280265303</v>
      </c>
      <c r="L985">
        <v>11136.3191627141</v>
      </c>
      <c r="M985">
        <v>250</v>
      </c>
      <c r="O985">
        <v>44.542426164859599</v>
      </c>
      <c r="P985">
        <v>0.70157831103587998</v>
      </c>
      <c r="Q985">
        <v>1.5</v>
      </c>
      <c r="R985">
        <v>-0.84291415764997402</v>
      </c>
      <c r="S985" t="s">
        <v>2311</v>
      </c>
      <c r="T985" t="s">
        <v>2650</v>
      </c>
      <c r="U985" t="s">
        <v>2650</v>
      </c>
      <c r="V985" t="s">
        <v>2650</v>
      </c>
      <c r="W985" t="s">
        <v>3635</v>
      </c>
      <c r="X985">
        <v>6</v>
      </c>
      <c r="Y985" t="s">
        <v>4946</v>
      </c>
      <c r="Z985" t="s">
        <v>6265</v>
      </c>
      <c r="AA985">
        <v>1.42420630101877</v>
      </c>
      <c r="AB985" t="str">
        <f>HYPERLINK("Melting_Curves/meltCurve_Q7Z4W1_DCXR.pdf", "Melting_Curves/meltCurve_Q7Z4W1_DCXR.pdf")</f>
        <v>Melting_Curves/meltCurve_Q7Z4W1_DCXR.pdf</v>
      </c>
    </row>
    <row r="986" spans="1:28" x14ac:dyDescent="0.25">
      <c r="A986" t="s">
        <v>990</v>
      </c>
      <c r="B986">
        <v>1</v>
      </c>
      <c r="C986">
        <v>0.77318606986207306</v>
      </c>
      <c r="D986">
        <v>1.12603709771178</v>
      </c>
      <c r="E986">
        <v>1.26718807800032</v>
      </c>
      <c r="F986">
        <v>0.93357290070284804</v>
      </c>
      <c r="G986">
        <v>0.990487766210432</v>
      </c>
      <c r="H986">
        <v>0.90847117264704302</v>
      </c>
      <c r="I986">
        <v>1.08936215187867</v>
      </c>
      <c r="J986">
        <v>0.64572213708185799</v>
      </c>
      <c r="K986">
        <v>0.87628811499233705</v>
      </c>
      <c r="L986">
        <v>15000</v>
      </c>
      <c r="M986">
        <v>229.25314574736799</v>
      </c>
      <c r="O986">
        <v>65.424897021538698</v>
      </c>
      <c r="P986">
        <v>-0.20937600095931599</v>
      </c>
      <c r="Q986">
        <v>0.76099086881933298</v>
      </c>
      <c r="R986">
        <v>0.34549268829878699</v>
      </c>
      <c r="S986" t="s">
        <v>2312</v>
      </c>
      <c r="T986" t="s">
        <v>2650</v>
      </c>
      <c r="U986" t="s">
        <v>2650</v>
      </c>
      <c r="V986" t="s">
        <v>2650</v>
      </c>
      <c r="W986" t="s">
        <v>3636</v>
      </c>
      <c r="X986">
        <v>6</v>
      </c>
      <c r="Y986" t="s">
        <v>4947</v>
      </c>
      <c r="Z986" t="s">
        <v>6266</v>
      </c>
      <c r="AA986">
        <v>0.9636224219549312</v>
      </c>
      <c r="AB986" t="str">
        <f>HYPERLINK("Melting_Curves/meltCurve_Q7Z7H5_3_TMED4.pdf", "Melting_Curves/meltCurve_Q7Z7H5_3_TMED4.pdf")</f>
        <v>Melting_Curves/meltCurve_Q7Z7H5_3_TMED4.pdf</v>
      </c>
    </row>
    <row r="987" spans="1:28" x14ac:dyDescent="0.25">
      <c r="A987" t="s">
        <v>991</v>
      </c>
      <c r="B987">
        <v>1</v>
      </c>
      <c r="C987">
        <v>0.68089831409715096</v>
      </c>
      <c r="D987">
        <v>1.1717181195458399</v>
      </c>
      <c r="E987">
        <v>1.3406524662975801</v>
      </c>
      <c r="F987">
        <v>0.98848956867160898</v>
      </c>
      <c r="G987">
        <v>1.17228112977386</v>
      </c>
      <c r="H987">
        <v>1.7748271871383401</v>
      </c>
      <c r="I987">
        <v>1.74495636670733</v>
      </c>
      <c r="J987">
        <v>1.80397860561134</v>
      </c>
      <c r="K987">
        <v>1.2099402583591401</v>
      </c>
      <c r="L987">
        <v>14286.652546258199</v>
      </c>
      <c r="M987">
        <v>250</v>
      </c>
      <c r="O987">
        <v>57.1429368012193</v>
      </c>
      <c r="P987">
        <v>0.54687408082413003</v>
      </c>
      <c r="Q987">
        <v>1.5</v>
      </c>
      <c r="R987">
        <v>0.56590837739920397</v>
      </c>
      <c r="S987" t="s">
        <v>2313</v>
      </c>
      <c r="T987" t="s">
        <v>2650</v>
      </c>
      <c r="U987" t="s">
        <v>2650</v>
      </c>
      <c r="V987" t="s">
        <v>2650</v>
      </c>
      <c r="W987" t="s">
        <v>3637</v>
      </c>
      <c r="X987">
        <v>3</v>
      </c>
      <c r="Y987" t="s">
        <v>4948</v>
      </c>
      <c r="Z987" t="s">
        <v>6267</v>
      </c>
      <c r="AA987">
        <v>1.214173017877048</v>
      </c>
      <c r="AB987" t="str">
        <f>HYPERLINK("Melting_Curves/meltCurve_Q7Z7M0_2_MEGF8.pdf", "Melting_Curves/meltCurve_Q7Z7M0_2_MEGF8.pdf")</f>
        <v>Melting_Curves/meltCurve_Q7Z7M0_2_MEGF8.pdf</v>
      </c>
    </row>
    <row r="988" spans="1:28" x14ac:dyDescent="0.25">
      <c r="A988" t="s">
        <v>992</v>
      </c>
      <c r="B988">
        <v>1</v>
      </c>
      <c r="C988">
        <v>0.62930722528245797</v>
      </c>
      <c r="D988">
        <v>1.1020264565156199</v>
      </c>
      <c r="E988">
        <v>1.13722809698042</v>
      </c>
      <c r="F988">
        <v>0.73020787262273301</v>
      </c>
      <c r="G988">
        <v>0.85714285714285698</v>
      </c>
      <c r="H988">
        <v>0.76440432632383104</v>
      </c>
      <c r="I988">
        <v>0.76916891158377199</v>
      </c>
      <c r="J988">
        <v>0.44483535040810601</v>
      </c>
      <c r="K988">
        <v>0.77749185798721399</v>
      </c>
      <c r="L988">
        <v>824.03374538014805</v>
      </c>
      <c r="M988">
        <v>14.459157484236901</v>
      </c>
      <c r="O988">
        <v>55.9336050544306</v>
      </c>
      <c r="P988">
        <v>-2.3922888803811E-2</v>
      </c>
      <c r="Q988">
        <v>0.629871284999862</v>
      </c>
      <c r="R988">
        <v>0.29775202997094102</v>
      </c>
      <c r="S988" t="s">
        <v>2314</v>
      </c>
      <c r="T988" t="s">
        <v>2650</v>
      </c>
      <c r="U988" t="s">
        <v>2650</v>
      </c>
      <c r="V988" t="s">
        <v>2650</v>
      </c>
      <c r="W988" t="s">
        <v>3638</v>
      </c>
      <c r="X988">
        <v>1</v>
      </c>
      <c r="Y988" t="s">
        <v>4949</v>
      </c>
      <c r="Z988" t="s">
        <v>6268</v>
      </c>
      <c r="AA988">
        <v>0.84547062417492258</v>
      </c>
      <c r="AB988" t="str">
        <f>HYPERLINK("Melting_Curves/meltCurve_Q80910_E2.pdf", "Melting_Curves/meltCurve_Q80910_E2.pdf")</f>
        <v>Melting_Curves/meltCurve_Q80910_E2.pdf</v>
      </c>
    </row>
    <row r="989" spans="1:28" x14ac:dyDescent="0.25">
      <c r="A989" t="s">
        <v>993</v>
      </c>
      <c r="B989">
        <v>1</v>
      </c>
      <c r="C989">
        <v>0.833168972415542</v>
      </c>
      <c r="D989">
        <v>1.02637288326618</v>
      </c>
      <c r="E989">
        <v>1.1194950832605499</v>
      </c>
      <c r="F989">
        <v>0.99644980417570606</v>
      </c>
      <c r="G989">
        <v>0.97216195655236504</v>
      </c>
      <c r="H989">
        <v>0.94367586148601101</v>
      </c>
      <c r="I989">
        <v>1.04699783043589</v>
      </c>
      <c r="J989">
        <v>0.67104336310613999</v>
      </c>
      <c r="K989">
        <v>0.83922684624270905</v>
      </c>
      <c r="L989">
        <v>15000</v>
      </c>
      <c r="M989">
        <v>229.40872478140801</v>
      </c>
      <c r="O989">
        <v>65.380517780884304</v>
      </c>
      <c r="P989">
        <v>-0.21492710972273099</v>
      </c>
      <c r="Q989">
        <v>0.75498674441552405</v>
      </c>
      <c r="R989">
        <v>0.58432652234614302</v>
      </c>
      <c r="S989" t="s">
        <v>2315</v>
      </c>
      <c r="T989" t="s">
        <v>2650</v>
      </c>
      <c r="U989" t="s">
        <v>2650</v>
      </c>
      <c r="V989" t="s">
        <v>2650</v>
      </c>
      <c r="W989" t="s">
        <v>3639</v>
      </c>
      <c r="X989">
        <v>1</v>
      </c>
      <c r="Z989" t="s">
        <v>6269</v>
      </c>
      <c r="AA989">
        <v>0.96234611886085586</v>
      </c>
      <c r="AB989" t="str">
        <f>HYPERLINK("Melting_Curves/meltCurve_Q86194_.pdf", "Melting_Curves/meltCurve_Q86194_.pdf")</f>
        <v>Melting_Curves/meltCurve_Q86194_.pdf</v>
      </c>
    </row>
    <row r="990" spans="1:28" x14ac:dyDescent="0.25">
      <c r="A990" t="s">
        <v>994</v>
      </c>
      <c r="B990">
        <v>1</v>
      </c>
      <c r="C990">
        <v>0.85202030189176703</v>
      </c>
      <c r="D990">
        <v>1.1387515654867799</v>
      </c>
      <c r="E990">
        <v>1.24550128534704</v>
      </c>
      <c r="F990">
        <v>0.79780502274075504</v>
      </c>
      <c r="G990">
        <v>0.839661195702327</v>
      </c>
      <c r="H990">
        <v>0.76399050820644698</v>
      </c>
      <c r="I990">
        <v>0.932667589479929</v>
      </c>
      <c r="J990">
        <v>0.618647419418628</v>
      </c>
      <c r="K990">
        <v>0.81870015160503595</v>
      </c>
      <c r="L990">
        <v>13034.9614497448</v>
      </c>
      <c r="M990">
        <v>250</v>
      </c>
      <c r="O990">
        <v>52.136507880902897</v>
      </c>
      <c r="P990">
        <v>-0.24615018912598799</v>
      </c>
      <c r="Q990">
        <v>0.794665414660366</v>
      </c>
      <c r="R990">
        <v>0.49691955223601803</v>
      </c>
      <c r="S990" t="s">
        <v>2316</v>
      </c>
      <c r="T990" t="s">
        <v>2650</v>
      </c>
      <c r="U990" t="s">
        <v>2650</v>
      </c>
      <c r="V990" t="s">
        <v>2650</v>
      </c>
      <c r="W990" t="s">
        <v>3640</v>
      </c>
      <c r="X990">
        <v>1</v>
      </c>
      <c r="Y990" t="s">
        <v>4950</v>
      </c>
      <c r="Z990" t="s">
        <v>6270</v>
      </c>
      <c r="AA990">
        <v>0.87777521049715601</v>
      </c>
      <c r="AB990" t="str">
        <f>HYPERLINK("Melting_Curves/meltCurve_Q86SQ4_2_ADGRG6.pdf", "Melting_Curves/meltCurve_Q86SQ4_2_ADGRG6.pdf")</f>
        <v>Melting_Curves/meltCurve_Q86SQ4_2_ADGRG6.pdf</v>
      </c>
    </row>
    <row r="991" spans="1:28" x14ac:dyDescent="0.25">
      <c r="A991" t="s">
        <v>995</v>
      </c>
      <c r="B991">
        <v>1</v>
      </c>
      <c r="C991">
        <v>0.94194189052682098</v>
      </c>
      <c r="D991">
        <v>1.4190764805588401</v>
      </c>
      <c r="E991">
        <v>1.71315082096324</v>
      </c>
      <c r="F991">
        <v>1.3509168421593301</v>
      </c>
      <c r="G991">
        <v>1.7121235468351399</v>
      </c>
      <c r="H991">
        <v>1.1856284349478701</v>
      </c>
      <c r="I991">
        <v>1.58481003989248</v>
      </c>
      <c r="J991">
        <v>1.12452274556132</v>
      </c>
      <c r="K991">
        <v>1.3843717362644901</v>
      </c>
      <c r="L991">
        <v>11353.7205892819</v>
      </c>
      <c r="M991">
        <v>250</v>
      </c>
      <c r="O991">
        <v>45.411959292746999</v>
      </c>
      <c r="P991">
        <v>0.600754995943937</v>
      </c>
      <c r="Q991">
        <v>1.43650354476513</v>
      </c>
      <c r="R991">
        <v>0.49559363579661703</v>
      </c>
      <c r="S991" t="s">
        <v>2317</v>
      </c>
      <c r="T991" t="s">
        <v>2650</v>
      </c>
      <c r="U991" t="s">
        <v>2650</v>
      </c>
      <c r="V991" t="s">
        <v>2650</v>
      </c>
      <c r="W991" t="s">
        <v>3641</v>
      </c>
      <c r="X991">
        <v>1</v>
      </c>
      <c r="Y991" t="s">
        <v>4951</v>
      </c>
      <c r="Z991" t="s">
        <v>6271</v>
      </c>
      <c r="AA991">
        <v>1.3576815762674741</v>
      </c>
      <c r="AB991" t="str">
        <f>HYPERLINK("Melting_Curves/meltCurve_Q86TH1_ADAMTSL2.pdf", "Melting_Curves/meltCurve_Q86TH1_ADAMTSL2.pdf")</f>
        <v>Melting_Curves/meltCurve_Q86TH1_ADAMTSL2.pdf</v>
      </c>
    </row>
    <row r="992" spans="1:28" x14ac:dyDescent="0.25">
      <c r="A992" t="s">
        <v>996</v>
      </c>
      <c r="B992">
        <v>1</v>
      </c>
      <c r="C992">
        <v>0.88550669216061195</v>
      </c>
      <c r="D992">
        <v>1.22878776290631</v>
      </c>
      <c r="E992">
        <v>1.48316634799235</v>
      </c>
      <c r="F992">
        <v>1.2234034416826001</v>
      </c>
      <c r="G992">
        <v>1.3540344168259999</v>
      </c>
      <c r="H992">
        <v>1.2929254302103299</v>
      </c>
      <c r="I992">
        <v>1.5668068833652</v>
      </c>
      <c r="J992">
        <v>1.1843365200764799</v>
      </c>
      <c r="K992">
        <v>1.4638164435946499</v>
      </c>
      <c r="L992">
        <v>11476.791528744399</v>
      </c>
      <c r="M992">
        <v>250</v>
      </c>
      <c r="O992">
        <v>45.9042287326658</v>
      </c>
      <c r="P992">
        <v>0.499582341966193</v>
      </c>
      <c r="Q992">
        <v>1.36692707014083</v>
      </c>
      <c r="R992">
        <v>0.66989610699979096</v>
      </c>
      <c r="S992" t="s">
        <v>2318</v>
      </c>
      <c r="T992" t="s">
        <v>2650</v>
      </c>
      <c r="U992" t="s">
        <v>2650</v>
      </c>
      <c r="V992" t="s">
        <v>2650</v>
      </c>
      <c r="W992" t="s">
        <v>3642</v>
      </c>
      <c r="X992">
        <v>3</v>
      </c>
      <c r="Y992" t="s">
        <v>4952</v>
      </c>
      <c r="Z992" t="s">
        <v>6272</v>
      </c>
      <c r="AA992">
        <v>1.294647536314854</v>
      </c>
      <c r="AB992" t="str">
        <f>HYPERLINK("Melting_Curves/meltCurve_Q86UD1_OAF.pdf", "Melting_Curves/meltCurve_Q86UD1_OAF.pdf")</f>
        <v>Melting_Curves/meltCurve_Q86UD1_OAF.pdf</v>
      </c>
    </row>
    <row r="993" spans="1:28" x14ac:dyDescent="0.25">
      <c r="A993" t="s">
        <v>997</v>
      </c>
      <c r="B993">
        <v>1</v>
      </c>
      <c r="C993">
        <v>0.841047015671891</v>
      </c>
      <c r="D993">
        <v>1.46412137379126</v>
      </c>
      <c r="E993">
        <v>2.4953984661553901</v>
      </c>
      <c r="F993">
        <v>2.39036345448483</v>
      </c>
      <c r="G993">
        <v>2.9361787262420802</v>
      </c>
      <c r="H993">
        <v>2.3284761587195701</v>
      </c>
      <c r="I993">
        <v>3.04721573857953</v>
      </c>
      <c r="J993">
        <v>2.42787595865288</v>
      </c>
      <c r="K993">
        <v>2.9717572524174698</v>
      </c>
      <c r="L993">
        <v>11382.2405802954</v>
      </c>
      <c r="M993">
        <v>250</v>
      </c>
      <c r="O993">
        <v>45.526047959104503</v>
      </c>
      <c r="P993">
        <v>0.68642021174813805</v>
      </c>
      <c r="Q993">
        <v>1.5</v>
      </c>
      <c r="R993">
        <v>-0.69862185512479602</v>
      </c>
      <c r="S993" t="s">
        <v>2319</v>
      </c>
      <c r="T993" t="s">
        <v>2650</v>
      </c>
      <c r="U993" t="s">
        <v>2650</v>
      </c>
      <c r="V993" t="s">
        <v>2650</v>
      </c>
      <c r="W993" t="s">
        <v>3643</v>
      </c>
      <c r="X993">
        <v>4</v>
      </c>
      <c r="Y993" t="s">
        <v>4953</v>
      </c>
      <c r="Z993" t="s">
        <v>6273</v>
      </c>
      <c r="AA993">
        <v>1.4078106766701659</v>
      </c>
      <c r="AB993" t="str">
        <f>HYPERLINK("Melting_Curves/meltCurve_Q86UN2_RTN4RL1.pdf", "Melting_Curves/meltCurve_Q86UN2_RTN4RL1.pdf")</f>
        <v>Melting_Curves/meltCurve_Q86UN2_RTN4RL1.pdf</v>
      </c>
    </row>
    <row r="994" spans="1:28" x14ac:dyDescent="0.25">
      <c r="A994" t="s">
        <v>998</v>
      </c>
      <c r="B994">
        <v>1</v>
      </c>
      <c r="C994">
        <v>0.62370055678928904</v>
      </c>
      <c r="D994">
        <v>1.0823597566862999</v>
      </c>
      <c r="E994">
        <v>1.47522341304325</v>
      </c>
      <c r="F994">
        <v>0.96496196882409102</v>
      </c>
      <c r="G994">
        <v>0.99919539120079803</v>
      </c>
      <c r="H994">
        <v>0.95350433952345703</v>
      </c>
      <c r="I994">
        <v>1.0116400072951199</v>
      </c>
      <c r="J994">
        <v>0.63657429757651796</v>
      </c>
      <c r="K994">
        <v>0.90647227318078005</v>
      </c>
      <c r="L994">
        <v>15000</v>
      </c>
      <c r="M994">
        <v>230.23463690992699</v>
      </c>
      <c r="O994">
        <v>65.146011787278695</v>
      </c>
      <c r="P994">
        <v>-0.20183282297093399</v>
      </c>
      <c r="Q994">
        <v>0.77156168160112004</v>
      </c>
      <c r="R994">
        <v>0.182011709507543</v>
      </c>
      <c r="S994" t="s">
        <v>2320</v>
      </c>
      <c r="T994" t="s">
        <v>2650</v>
      </c>
      <c r="U994" t="s">
        <v>2650</v>
      </c>
      <c r="V994" t="s">
        <v>2650</v>
      </c>
      <c r="W994" t="s">
        <v>3644</v>
      </c>
      <c r="X994">
        <v>2</v>
      </c>
      <c r="Y994" t="s">
        <v>4954</v>
      </c>
      <c r="Z994" t="s">
        <v>6274</v>
      </c>
      <c r="AA994">
        <v>0.96310699396967869</v>
      </c>
      <c r="AB994" t="str">
        <f>HYPERLINK("Melting_Curves/meltCurve_Q86UP2_2_KTN1.pdf", "Melting_Curves/meltCurve_Q86UP2_2_KTN1.pdf")</f>
        <v>Melting_Curves/meltCurve_Q86UP2_2_KTN1.pdf</v>
      </c>
    </row>
    <row r="995" spans="1:28" x14ac:dyDescent="0.25">
      <c r="A995" t="s">
        <v>999</v>
      </c>
      <c r="B995">
        <v>1</v>
      </c>
      <c r="C995">
        <v>0.79326326976442096</v>
      </c>
      <c r="D995">
        <v>1.25901871641967</v>
      </c>
      <c r="E995">
        <v>1.4369870697289999</v>
      </c>
      <c r="F995">
        <v>1.1068518627856201</v>
      </c>
      <c r="G995">
        <v>1.42393871405798</v>
      </c>
      <c r="H995">
        <v>1.1933341205644401</v>
      </c>
      <c r="I995">
        <v>1.37527307079176</v>
      </c>
      <c r="J995">
        <v>1.08961150144654</v>
      </c>
      <c r="K995">
        <v>1.43218988014406</v>
      </c>
      <c r="L995">
        <v>11407.9393806189</v>
      </c>
      <c r="M995">
        <v>250</v>
      </c>
      <c r="O995">
        <v>45.6288378535559</v>
      </c>
      <c r="P995">
        <v>0.40274233454017599</v>
      </c>
      <c r="Q995">
        <v>1.2940266315578099</v>
      </c>
      <c r="R995">
        <v>0.54068738600246902</v>
      </c>
      <c r="S995" t="s">
        <v>2321</v>
      </c>
      <c r="T995" t="s">
        <v>2650</v>
      </c>
      <c r="U995" t="s">
        <v>2650</v>
      </c>
      <c r="V995" t="s">
        <v>2650</v>
      </c>
      <c r="W995" t="s">
        <v>3645</v>
      </c>
      <c r="X995">
        <v>1</v>
      </c>
      <c r="Y995" t="s">
        <v>4955</v>
      </c>
      <c r="Z995" t="s">
        <v>6275</v>
      </c>
      <c r="AA995">
        <v>1.238806861879812</v>
      </c>
      <c r="AB995" t="str">
        <f>HYPERLINK("Melting_Curves/meltCurve_Q86V85_GPR180.pdf", "Melting_Curves/meltCurve_Q86V85_GPR180.pdf")</f>
        <v>Melting_Curves/meltCurve_Q86V85_GPR180.pdf</v>
      </c>
    </row>
    <row r="996" spans="1:28" x14ac:dyDescent="0.25">
      <c r="A996" t="s">
        <v>1000</v>
      </c>
      <c r="B996">
        <v>1</v>
      </c>
      <c r="C996">
        <v>0.772093224744412</v>
      </c>
      <c r="D996">
        <v>1.1317362675446201</v>
      </c>
      <c r="E996">
        <v>1.2697539421244199</v>
      </c>
      <c r="F996">
        <v>1.1413099982671999</v>
      </c>
      <c r="G996">
        <v>1.2963091318662301</v>
      </c>
      <c r="H996">
        <v>1.0794489689828499</v>
      </c>
      <c r="I996">
        <v>1.3116877490902801</v>
      </c>
      <c r="J996">
        <v>0.87523826026685103</v>
      </c>
      <c r="K996">
        <v>1.12320221798648</v>
      </c>
      <c r="L996">
        <v>11423.498214536001</v>
      </c>
      <c r="M996">
        <v>250</v>
      </c>
      <c r="O996">
        <v>45.691068791746901</v>
      </c>
      <c r="P996">
        <v>0.21435698661796701</v>
      </c>
      <c r="Q996">
        <v>1.1567071968031799</v>
      </c>
      <c r="R996">
        <v>0.31385896262975299</v>
      </c>
      <c r="S996" t="s">
        <v>2322</v>
      </c>
      <c r="T996" t="s">
        <v>2650</v>
      </c>
      <c r="U996" t="s">
        <v>2650</v>
      </c>
      <c r="V996" t="s">
        <v>2650</v>
      </c>
      <c r="W996" t="s">
        <v>3646</v>
      </c>
      <c r="X996">
        <v>2</v>
      </c>
      <c r="Y996" t="s">
        <v>4956</v>
      </c>
      <c r="Z996" t="s">
        <v>6276</v>
      </c>
      <c r="AA996">
        <v>1.1269516414538201</v>
      </c>
      <c r="AB996" t="str">
        <f>HYPERLINK("Melting_Curves/meltCurve_Q86VR7_VSIG10L.pdf", "Melting_Curves/meltCurve_Q86VR7_VSIG10L.pdf")</f>
        <v>Melting_Curves/meltCurve_Q86VR7_VSIG10L.pdf</v>
      </c>
    </row>
    <row r="997" spans="1:28" x14ac:dyDescent="0.25">
      <c r="A997" t="s">
        <v>1001</v>
      </c>
      <c r="B997">
        <v>1</v>
      </c>
      <c r="C997">
        <v>0.73536838978015495</v>
      </c>
      <c r="D997">
        <v>0.89360516934046297</v>
      </c>
      <c r="E997">
        <v>1.2289067142008301</v>
      </c>
      <c r="F997">
        <v>1.0747549019607801</v>
      </c>
      <c r="G997">
        <v>0.87611408199643503</v>
      </c>
      <c r="H997">
        <v>0.83106803327391598</v>
      </c>
      <c r="I997">
        <v>1.36319073083779</v>
      </c>
      <c r="J997">
        <v>0.88952020202020199</v>
      </c>
      <c r="K997">
        <v>1.1475787284610801</v>
      </c>
      <c r="L997">
        <v>974.00358411576099</v>
      </c>
      <c r="M997">
        <v>12.675363530831399</v>
      </c>
      <c r="Q997">
        <v>1.5</v>
      </c>
      <c r="R997">
        <v>5.3599351652788403E-2</v>
      </c>
      <c r="S997" t="s">
        <v>2323</v>
      </c>
      <c r="T997" t="s">
        <v>2650</v>
      </c>
      <c r="U997" t="s">
        <v>2650</v>
      </c>
      <c r="V997" t="s">
        <v>2650</v>
      </c>
      <c r="W997" t="s">
        <v>3647</v>
      </c>
      <c r="X997">
        <v>1</v>
      </c>
      <c r="Y997" t="s">
        <v>4957</v>
      </c>
      <c r="Z997" t="s">
        <v>6277</v>
      </c>
      <c r="AA997">
        <v>1.018632911601794</v>
      </c>
      <c r="AB997" t="str">
        <f>HYPERLINK("Melting_Curves/meltCurve_Q86VY4_TSPYL5.pdf", "Melting_Curves/meltCurve_Q86VY4_TSPYL5.pdf")</f>
        <v>Melting_Curves/meltCurve_Q86VY4_TSPYL5.pdf</v>
      </c>
    </row>
    <row r="998" spans="1:28" x14ac:dyDescent="0.25">
      <c r="A998" t="s">
        <v>1002</v>
      </c>
      <c r="B998">
        <v>1</v>
      </c>
      <c r="C998">
        <v>0.82936566612450102</v>
      </c>
      <c r="D998">
        <v>1.1492680762975001</v>
      </c>
      <c r="E998">
        <v>1.3349475085021401</v>
      </c>
      <c r="F998">
        <v>1.27184681354429</v>
      </c>
      <c r="G998">
        <v>1.1339272512198699</v>
      </c>
      <c r="H998">
        <v>1.04920153777909</v>
      </c>
      <c r="I998">
        <v>1.2338089605204801</v>
      </c>
      <c r="J998">
        <v>0.84563063729114296</v>
      </c>
      <c r="K998">
        <v>1.0977376903740901</v>
      </c>
      <c r="L998">
        <v>11163.9757278543</v>
      </c>
      <c r="M998">
        <v>250</v>
      </c>
      <c r="O998">
        <v>44.653047535003402</v>
      </c>
      <c r="P998">
        <v>0.19533410016271799</v>
      </c>
      <c r="Q998">
        <v>1.1395561983940801</v>
      </c>
      <c r="R998">
        <v>0.25868302818296801</v>
      </c>
      <c r="S998" t="s">
        <v>2324</v>
      </c>
      <c r="T998" t="s">
        <v>2650</v>
      </c>
      <c r="U998" t="s">
        <v>2650</v>
      </c>
      <c r="V998" t="s">
        <v>2650</v>
      </c>
      <c r="W998" t="s">
        <v>3648</v>
      </c>
      <c r="X998">
        <v>4</v>
      </c>
      <c r="Y998" t="s">
        <v>4958</v>
      </c>
      <c r="Z998" t="s">
        <v>6278</v>
      </c>
      <c r="AA998">
        <v>1.1178865909699729</v>
      </c>
      <c r="AB998" t="str">
        <f>HYPERLINK("Melting_Curves/meltCurve_Q86VZ4_LRP11.pdf", "Melting_Curves/meltCurve_Q86VZ4_LRP11.pdf")</f>
        <v>Melting_Curves/meltCurve_Q86VZ4_LRP11.pdf</v>
      </c>
    </row>
    <row r="999" spans="1:28" x14ac:dyDescent="0.25">
      <c r="A999" t="s">
        <v>1003</v>
      </c>
      <c r="B999">
        <v>1</v>
      </c>
      <c r="C999">
        <v>0.64932753164557</v>
      </c>
      <c r="D999">
        <v>1.05523140822785</v>
      </c>
      <c r="E999">
        <v>1.19981210443038</v>
      </c>
      <c r="F999">
        <v>0.867830300632911</v>
      </c>
      <c r="G999">
        <v>0.946746439873418</v>
      </c>
      <c r="H999">
        <v>0.931418117088608</v>
      </c>
      <c r="I999">
        <v>1.09538172468354</v>
      </c>
      <c r="J999">
        <v>0.565170094936709</v>
      </c>
      <c r="K999">
        <v>0.917424841772152</v>
      </c>
      <c r="L999">
        <v>15000</v>
      </c>
      <c r="M999">
        <v>229.431334022268</v>
      </c>
      <c r="O999">
        <v>65.374074508047599</v>
      </c>
      <c r="P999">
        <v>-0.22681620555095799</v>
      </c>
      <c r="Q999">
        <v>0.74148433141470305</v>
      </c>
      <c r="R999">
        <v>0.218792219794614</v>
      </c>
      <c r="S999" t="s">
        <v>2325</v>
      </c>
      <c r="T999" t="s">
        <v>2650</v>
      </c>
      <c r="U999" t="s">
        <v>2650</v>
      </c>
      <c r="V999" t="s">
        <v>2650</v>
      </c>
      <c r="W999" t="s">
        <v>3649</v>
      </c>
      <c r="X999">
        <v>8</v>
      </c>
      <c r="Y999" t="s">
        <v>4959</v>
      </c>
      <c r="Z999" t="s">
        <v>6279</v>
      </c>
      <c r="AA999">
        <v>0.96021552025465029</v>
      </c>
      <c r="AB999" t="str">
        <f>HYPERLINK("Melting_Curves/meltCurve_Q86X29_6_LSR.pdf", "Melting_Curves/meltCurve_Q86X29_6_LSR.pdf")</f>
        <v>Melting_Curves/meltCurve_Q86X29_6_LSR.pdf</v>
      </c>
    </row>
    <row r="1000" spans="1:28" x14ac:dyDescent="0.25">
      <c r="A1000" t="s">
        <v>1004</v>
      </c>
      <c r="B1000">
        <v>1</v>
      </c>
      <c r="C1000">
        <v>0.71740991130682896</v>
      </c>
      <c r="D1000">
        <v>1.16617254853315</v>
      </c>
      <c r="E1000">
        <v>1.33052161508404</v>
      </c>
      <c r="F1000">
        <v>0.94674688333436696</v>
      </c>
      <c r="G1000">
        <v>0.97351609501953695</v>
      </c>
      <c r="H1000">
        <v>0.88286299075854402</v>
      </c>
      <c r="I1000">
        <v>1.0544811759598101</v>
      </c>
      <c r="J1000">
        <v>0.55213049680580495</v>
      </c>
      <c r="K1000">
        <v>0.88000992371146802</v>
      </c>
      <c r="L1000">
        <v>7928.6261710296803</v>
      </c>
      <c r="M1000">
        <v>121.557363068388</v>
      </c>
      <c r="O1000">
        <v>65.207741261051297</v>
      </c>
      <c r="P1000">
        <v>-0.13166904278896799</v>
      </c>
      <c r="Q1000">
        <v>0.71747197665495599</v>
      </c>
      <c r="R1000">
        <v>0.30323288605486098</v>
      </c>
      <c r="S1000" t="s">
        <v>2326</v>
      </c>
      <c r="T1000" t="s">
        <v>2650</v>
      </c>
      <c r="U1000" t="s">
        <v>2650</v>
      </c>
      <c r="V1000" t="s">
        <v>2650</v>
      </c>
      <c r="W1000" t="s">
        <v>3650</v>
      </c>
      <c r="X1000">
        <v>3</v>
      </c>
      <c r="Y1000" t="s">
        <v>4960</v>
      </c>
      <c r="Z1000" t="s">
        <v>6280</v>
      </c>
      <c r="AA1000">
        <v>0.95517001748999997</v>
      </c>
      <c r="AB1000" t="str">
        <f>HYPERLINK("Melting_Curves/meltCurve_Q86XR7_2_TICAM2.pdf", "Melting_Curves/meltCurve_Q86XR7_2_TICAM2.pdf")</f>
        <v>Melting_Curves/meltCurve_Q86XR7_2_TICAM2.pdf</v>
      </c>
    </row>
    <row r="1001" spans="1:28" x14ac:dyDescent="0.25">
      <c r="A1001" t="s">
        <v>1005</v>
      </c>
      <c r="B1001">
        <v>1</v>
      </c>
      <c r="C1001">
        <v>0.87566309593073</v>
      </c>
      <c r="D1001">
        <v>0.99883637359252497</v>
      </c>
      <c r="E1001">
        <v>1.46575858174476</v>
      </c>
      <c r="F1001">
        <v>1.24453266710017</v>
      </c>
      <c r="G1001">
        <v>2.0868612888873699</v>
      </c>
      <c r="H1001">
        <v>2.7078613231116702</v>
      </c>
      <c r="I1001">
        <v>3.7400321708477402</v>
      </c>
      <c r="J1001">
        <v>3.2285841404565501</v>
      </c>
      <c r="K1001">
        <v>4.3358773400869302</v>
      </c>
      <c r="L1001">
        <v>3576.8107260903198</v>
      </c>
      <c r="M1001">
        <v>73.910431114639906</v>
      </c>
      <c r="O1001">
        <v>48.358459023935502</v>
      </c>
      <c r="P1001">
        <v>0.19104836929753799</v>
      </c>
      <c r="Q1001">
        <v>1.5</v>
      </c>
      <c r="R1001">
        <v>-0.250380639235872</v>
      </c>
      <c r="S1001" t="s">
        <v>2327</v>
      </c>
      <c r="T1001" t="s">
        <v>2650</v>
      </c>
      <c r="U1001" t="s">
        <v>2650</v>
      </c>
      <c r="V1001" t="s">
        <v>2650</v>
      </c>
      <c r="W1001" t="s">
        <v>3651</v>
      </c>
      <c r="X1001">
        <v>2</v>
      </c>
      <c r="Y1001" t="s">
        <v>4961</v>
      </c>
      <c r="Z1001" t="s">
        <v>6281</v>
      </c>
      <c r="AA1001">
        <v>1.3596154282626931</v>
      </c>
      <c r="AB1001" t="str">
        <f>HYPERLINK("Melting_Curves/meltCurve_Q86Y38_XYLT1.pdf", "Melting_Curves/meltCurve_Q86Y38_XYLT1.pdf")</f>
        <v>Melting_Curves/meltCurve_Q86Y38_XYLT1.pdf</v>
      </c>
    </row>
    <row r="1002" spans="1:28" x14ac:dyDescent="0.25">
      <c r="A1002" t="s">
        <v>1006</v>
      </c>
      <c r="B1002">
        <v>1</v>
      </c>
      <c r="C1002">
        <v>0.82121513944223101</v>
      </c>
      <c r="D1002">
        <v>1.2581381789913499</v>
      </c>
      <c r="E1002">
        <v>1.5220824020989201</v>
      </c>
      <c r="F1002">
        <v>1.44640948401516</v>
      </c>
      <c r="G1002">
        <v>1.20289573413662</v>
      </c>
      <c r="H1002">
        <v>1.2135725391118499</v>
      </c>
      <c r="I1002">
        <v>1.58269361578078</v>
      </c>
      <c r="J1002">
        <v>1.00907346224857</v>
      </c>
      <c r="K1002">
        <v>1.2672480808473401</v>
      </c>
      <c r="L1002">
        <v>11434.705215693701</v>
      </c>
      <c r="M1002">
        <v>250</v>
      </c>
      <c r="O1002">
        <v>45.735893891797502</v>
      </c>
      <c r="P1002">
        <v>0.43806937373584298</v>
      </c>
      <c r="Q1002">
        <v>1.3205679098637599</v>
      </c>
      <c r="R1002">
        <v>0.46585639704661402</v>
      </c>
      <c r="S1002" t="s">
        <v>2328</v>
      </c>
      <c r="T1002" t="s">
        <v>2650</v>
      </c>
      <c r="U1002" t="s">
        <v>2650</v>
      </c>
      <c r="V1002" t="s">
        <v>2650</v>
      </c>
      <c r="W1002" t="s">
        <v>3652</v>
      </c>
      <c r="X1002">
        <v>2</v>
      </c>
      <c r="Y1002" t="s">
        <v>4962</v>
      </c>
      <c r="Z1002" t="s">
        <v>6282</v>
      </c>
      <c r="AA1002">
        <v>1.2592194506143659</v>
      </c>
      <c r="AB1002" t="str">
        <f>HYPERLINK("Melting_Curves/meltCurve_Q86Y82_STX12.pdf", "Melting_Curves/meltCurve_Q86Y82_STX12.pdf")</f>
        <v>Melting_Curves/meltCurve_Q86Y82_STX12.pdf</v>
      </c>
    </row>
    <row r="1003" spans="1:28" x14ac:dyDescent="0.25">
      <c r="A1003" t="s">
        <v>1007</v>
      </c>
      <c r="B1003">
        <v>1</v>
      </c>
      <c r="C1003">
        <v>0.87569387032006596</v>
      </c>
      <c r="D1003">
        <v>1.1257706389512201</v>
      </c>
      <c r="E1003">
        <v>1.6592653832526301</v>
      </c>
      <c r="F1003">
        <v>1.5102161332231001</v>
      </c>
      <c r="G1003">
        <v>1.8039447265855699</v>
      </c>
      <c r="H1003">
        <v>1.9362229833471101</v>
      </c>
      <c r="I1003">
        <v>2.6682414078185901</v>
      </c>
      <c r="J1003">
        <v>2.0595252155427</v>
      </c>
      <c r="K1003">
        <v>2.7781977087516201</v>
      </c>
      <c r="L1003">
        <v>11550.158811155799</v>
      </c>
      <c r="M1003">
        <v>250</v>
      </c>
      <c r="O1003">
        <v>46.197679266573502</v>
      </c>
      <c r="P1003">
        <v>0.67644091454143296</v>
      </c>
      <c r="Q1003">
        <v>1.5</v>
      </c>
      <c r="R1003">
        <v>4.7210942596214597E-2</v>
      </c>
      <c r="S1003" t="s">
        <v>2329</v>
      </c>
      <c r="T1003" t="s">
        <v>2650</v>
      </c>
      <c r="U1003" t="s">
        <v>2650</v>
      </c>
      <c r="V1003" t="s">
        <v>2650</v>
      </c>
      <c r="W1003" t="s">
        <v>3653</v>
      </c>
      <c r="X1003">
        <v>1</v>
      </c>
      <c r="Y1003" t="s">
        <v>4963</v>
      </c>
      <c r="Z1003" t="s">
        <v>6283</v>
      </c>
      <c r="AA1003">
        <v>1.3966155385583729</v>
      </c>
      <c r="AB1003" t="str">
        <f>HYPERLINK("Melting_Curves/meltCurve_Q8IV08_PLD3.pdf", "Melting_Curves/meltCurve_Q8IV08_PLD3.pdf")</f>
        <v>Melting_Curves/meltCurve_Q8IV08_PLD3.pdf</v>
      </c>
    </row>
    <row r="1004" spans="1:28" x14ac:dyDescent="0.25">
      <c r="A1004" t="s">
        <v>1008</v>
      </c>
      <c r="B1004">
        <v>1</v>
      </c>
      <c r="C1004">
        <v>0.68590733590733599</v>
      </c>
      <c r="D1004">
        <v>0.48036403750689499</v>
      </c>
      <c r="E1004">
        <v>0.49635962493105401</v>
      </c>
      <c r="F1004">
        <v>0.59853833425262004</v>
      </c>
      <c r="G1004">
        <v>0.62007722007721999</v>
      </c>
      <c r="H1004">
        <v>0.43306674020959701</v>
      </c>
      <c r="I1004">
        <v>0.82984004412575796</v>
      </c>
      <c r="J1004">
        <v>0.51141753998896899</v>
      </c>
      <c r="K1004">
        <v>0.72484831770546099</v>
      </c>
      <c r="L1004">
        <v>10675.5094531753</v>
      </c>
      <c r="M1004">
        <v>250</v>
      </c>
      <c r="O1004">
        <v>42.699307020034396</v>
      </c>
      <c r="P1004">
        <v>-0.60479031267692895</v>
      </c>
      <c r="Q1004">
        <v>0.586813982517984</v>
      </c>
      <c r="R1004">
        <v>0.54620210344430098</v>
      </c>
      <c r="S1004" t="s">
        <v>2330</v>
      </c>
      <c r="T1004" t="s">
        <v>2650</v>
      </c>
      <c r="U1004" t="s">
        <v>2650</v>
      </c>
      <c r="V1004" t="s">
        <v>2650</v>
      </c>
      <c r="W1004" t="s">
        <v>3654</v>
      </c>
      <c r="X1004">
        <v>1</v>
      </c>
      <c r="Y1004" t="s">
        <v>4964</v>
      </c>
      <c r="Z1004" t="s">
        <v>6284</v>
      </c>
      <c r="AA1004">
        <v>0.62405975545355419</v>
      </c>
      <c r="AB1004" t="str">
        <f>HYPERLINK("Melting_Curves/meltCurve_Q8IVN8_SBSPON.pdf", "Melting_Curves/meltCurve_Q8IVN8_SBSPON.pdf")</f>
        <v>Melting_Curves/meltCurve_Q8IVN8_SBSPON.pdf</v>
      </c>
    </row>
    <row r="1005" spans="1:28" x14ac:dyDescent="0.25">
      <c r="A1005" t="s">
        <v>1009</v>
      </c>
      <c r="B1005">
        <v>1</v>
      </c>
      <c r="C1005">
        <v>1.06265845708077</v>
      </c>
      <c r="D1005">
        <v>1.4374501992031901</v>
      </c>
      <c r="E1005">
        <v>1.67048170952553</v>
      </c>
      <c r="F1005">
        <v>1.63107569721116</v>
      </c>
      <c r="G1005">
        <v>1.9321984788120199</v>
      </c>
      <c r="H1005">
        <v>1.4680912712785199</v>
      </c>
      <c r="I1005">
        <v>1.9172039116262201</v>
      </c>
      <c r="J1005">
        <v>1.5085114089098199</v>
      </c>
      <c r="K1005">
        <v>1.69054690329591</v>
      </c>
      <c r="L1005">
        <v>2575.9522193185198</v>
      </c>
      <c r="M1005">
        <v>58.049316468961202</v>
      </c>
      <c r="O1005">
        <v>44.322666882104798</v>
      </c>
      <c r="P1005">
        <v>0.16371235153067401</v>
      </c>
      <c r="Q1005">
        <v>1.5</v>
      </c>
      <c r="R1005">
        <v>0.49429011785809901</v>
      </c>
      <c r="S1005" t="s">
        <v>2331</v>
      </c>
      <c r="T1005" t="s">
        <v>2650</v>
      </c>
      <c r="U1005" t="s">
        <v>2650</v>
      </c>
      <c r="V1005" t="s">
        <v>2650</v>
      </c>
      <c r="W1005" t="s">
        <v>3655</v>
      </c>
      <c r="X1005">
        <v>3</v>
      </c>
      <c r="Y1005" t="s">
        <v>4965</v>
      </c>
      <c r="Z1005" t="s">
        <v>6285</v>
      </c>
      <c r="AA1005">
        <v>1.4263367824243269</v>
      </c>
      <c r="AB1005" t="str">
        <f>HYPERLINK("Melting_Curves/meltCurve_Q8IW75_SERPINA12.pdf", "Melting_Curves/meltCurve_Q8IW75_SERPINA12.pdf")</f>
        <v>Melting_Curves/meltCurve_Q8IW75_SERPINA12.pdf</v>
      </c>
    </row>
    <row r="1006" spans="1:28" x14ac:dyDescent="0.25">
      <c r="A1006" t="s">
        <v>1010</v>
      </c>
      <c r="B1006">
        <v>1</v>
      </c>
      <c r="C1006">
        <v>0.87798022872649695</v>
      </c>
      <c r="D1006">
        <v>1.0274762550882</v>
      </c>
      <c r="E1006">
        <v>1.16006008916457</v>
      </c>
      <c r="F1006">
        <v>1.0950765652258201</v>
      </c>
      <c r="G1006">
        <v>1.06091296762939</v>
      </c>
      <c r="H1006">
        <v>0.97688505524326397</v>
      </c>
      <c r="I1006">
        <v>1.22388059701493</v>
      </c>
      <c r="J1006">
        <v>0.631275440976934</v>
      </c>
      <c r="K1006">
        <v>1.08727466563287</v>
      </c>
      <c r="L1006">
        <v>1186.34395821824</v>
      </c>
      <c r="M1006">
        <v>17.671463117224199</v>
      </c>
      <c r="O1006">
        <v>66.291330755270906</v>
      </c>
      <c r="P1006">
        <v>-4.5529732729654698E-3</v>
      </c>
      <c r="Q1006">
        <v>0.93168497253045701</v>
      </c>
      <c r="R1006">
        <v>7.5446134012095998E-3</v>
      </c>
      <c r="S1006" t="s">
        <v>2332</v>
      </c>
      <c r="T1006" t="s">
        <v>2650</v>
      </c>
      <c r="U1006" t="s">
        <v>2650</v>
      </c>
      <c r="V1006" t="s">
        <v>2650</v>
      </c>
      <c r="W1006" t="s">
        <v>3656</v>
      </c>
      <c r="X1006">
        <v>1</v>
      </c>
      <c r="Y1006" t="s">
        <v>4966</v>
      </c>
      <c r="Z1006" t="s">
        <v>6286</v>
      </c>
      <c r="AA1006">
        <v>0.9908370016832454</v>
      </c>
      <c r="AB1006" t="str">
        <f>HYPERLINK("Melting_Curves/meltCurve_Q8IYB5_3_SMAP1.pdf", "Melting_Curves/meltCurve_Q8IYB5_3_SMAP1.pdf")</f>
        <v>Melting_Curves/meltCurve_Q8IYB5_3_SMAP1.pdf</v>
      </c>
    </row>
    <row r="1007" spans="1:28" x14ac:dyDescent="0.25">
      <c r="A1007" t="s">
        <v>1011</v>
      </c>
      <c r="B1007">
        <v>1</v>
      </c>
      <c r="C1007">
        <v>0.73465214427637004</v>
      </c>
      <c r="D1007">
        <v>1.12272483357747</v>
      </c>
      <c r="E1007">
        <v>1.4952647532305501</v>
      </c>
      <c r="F1007">
        <v>0.87726066336963904</v>
      </c>
      <c r="G1007">
        <v>0.91673797334338902</v>
      </c>
      <c r="H1007">
        <v>0.89901524270859001</v>
      </c>
      <c r="I1007">
        <v>1.02743977607286</v>
      </c>
      <c r="J1007">
        <v>0.53377035866049805</v>
      </c>
      <c r="K1007">
        <v>0.99344462009252898</v>
      </c>
      <c r="L1007">
        <v>1358.3997579510201</v>
      </c>
      <c r="M1007">
        <v>22.456738662797399</v>
      </c>
      <c r="O1007">
        <v>60.016092118036298</v>
      </c>
      <c r="P1007">
        <v>-1.6756098862353502E-2</v>
      </c>
      <c r="Q1007">
        <v>0.82087963113407902</v>
      </c>
      <c r="R1007">
        <v>0.122742722886144</v>
      </c>
      <c r="S1007" t="s">
        <v>2333</v>
      </c>
      <c r="T1007" t="s">
        <v>2650</v>
      </c>
      <c r="U1007" t="s">
        <v>2650</v>
      </c>
      <c r="V1007" t="s">
        <v>2650</v>
      </c>
      <c r="W1007" t="s">
        <v>3657</v>
      </c>
      <c r="X1007">
        <v>1</v>
      </c>
      <c r="Y1007" t="s">
        <v>4967</v>
      </c>
      <c r="Z1007" t="s">
        <v>6287</v>
      </c>
      <c r="AA1007">
        <v>0.94452173057029143</v>
      </c>
      <c r="AB1007" t="str">
        <f>HYPERLINK("Melting_Curves/meltCurve_Q8IYJ3_SYTL1.pdf", "Melting_Curves/meltCurve_Q8IYJ3_SYTL1.pdf")</f>
        <v>Melting_Curves/meltCurve_Q8IYJ3_SYTL1.pdf</v>
      </c>
    </row>
    <row r="1008" spans="1:28" x14ac:dyDescent="0.25">
      <c r="A1008" t="s">
        <v>1012</v>
      </c>
      <c r="B1008">
        <v>1</v>
      </c>
      <c r="C1008">
        <v>0.92007317244775899</v>
      </c>
      <c r="D1008">
        <v>1.35361992542039</v>
      </c>
      <c r="E1008">
        <v>1.5988179835362</v>
      </c>
      <c r="F1008">
        <v>1.30922394990502</v>
      </c>
      <c r="G1008">
        <v>1.2834025188208</v>
      </c>
      <c r="H1008">
        <v>1.2473791599240101</v>
      </c>
      <c r="I1008">
        <v>1.36199254203898</v>
      </c>
      <c r="J1008">
        <v>0.80299725603320904</v>
      </c>
      <c r="K1008">
        <v>1.28783508056005</v>
      </c>
      <c r="L1008">
        <v>11102.567271657899</v>
      </c>
      <c r="M1008">
        <v>250</v>
      </c>
      <c r="O1008">
        <v>44.407406112011003</v>
      </c>
      <c r="P1008">
        <v>0.39500942766145603</v>
      </c>
      <c r="Q1008">
        <v>1.2806616386083201</v>
      </c>
      <c r="R1008">
        <v>0.31560889048087998</v>
      </c>
      <c r="S1008" t="s">
        <v>2334</v>
      </c>
      <c r="T1008" t="s">
        <v>2650</v>
      </c>
      <c r="U1008" t="s">
        <v>2650</v>
      </c>
      <c r="V1008" t="s">
        <v>2650</v>
      </c>
      <c r="W1008" t="s">
        <v>3658</v>
      </c>
      <c r="X1008">
        <v>2</v>
      </c>
      <c r="Y1008" t="s">
        <v>4968</v>
      </c>
      <c r="Z1008" t="s">
        <v>6288</v>
      </c>
      <c r="AA1008">
        <v>1.2393799857426939</v>
      </c>
      <c r="AB1008" t="str">
        <f>HYPERLINK("Melting_Curves/meltCurve_Q8IZA0_2_KIAA0319L.pdf", "Melting_Curves/meltCurve_Q8IZA0_2_KIAA0319L.pdf")</f>
        <v>Melting_Curves/meltCurve_Q8IZA0_2_KIAA0319L.pdf</v>
      </c>
    </row>
    <row r="1009" spans="1:28" x14ac:dyDescent="0.25">
      <c r="A1009" t="s">
        <v>1013</v>
      </c>
      <c r="B1009">
        <v>1</v>
      </c>
      <c r="C1009">
        <v>0.76956648239743997</v>
      </c>
      <c r="D1009">
        <v>1.27618562700029</v>
      </c>
      <c r="E1009">
        <v>1.73908932208321</v>
      </c>
      <c r="F1009">
        <v>1.25596450392784</v>
      </c>
      <c r="G1009">
        <v>1.44064591213267</v>
      </c>
      <c r="H1009">
        <v>1.2888420133837599</v>
      </c>
      <c r="I1009">
        <v>1.70752109397731</v>
      </c>
      <c r="J1009">
        <v>1.0689554844341</v>
      </c>
      <c r="K1009">
        <v>1.4863980215304</v>
      </c>
      <c r="L1009">
        <v>11472.099879240201</v>
      </c>
      <c r="M1009">
        <v>250</v>
      </c>
      <c r="O1009">
        <v>45.885480835025902</v>
      </c>
      <c r="P1009">
        <v>0.58130306682059996</v>
      </c>
      <c r="Q1009">
        <v>1.42677376600351</v>
      </c>
      <c r="R1009">
        <v>0.51295187842918899</v>
      </c>
      <c r="S1009" t="s">
        <v>2335</v>
      </c>
      <c r="T1009" t="s">
        <v>2650</v>
      </c>
      <c r="U1009" t="s">
        <v>2650</v>
      </c>
      <c r="V1009" t="s">
        <v>2650</v>
      </c>
      <c r="W1009" t="s">
        <v>3659</v>
      </c>
      <c r="X1009">
        <v>15</v>
      </c>
      <c r="Y1009" t="s">
        <v>4969</v>
      </c>
      <c r="Z1009" t="s">
        <v>6289</v>
      </c>
      <c r="AA1009">
        <v>1.342972248530039</v>
      </c>
      <c r="AB1009" t="str">
        <f>HYPERLINK("Melting_Curves/meltCurve_Q8IZJ3_2_CPAMD8.pdf", "Melting_Curves/meltCurve_Q8IZJ3_2_CPAMD8.pdf")</f>
        <v>Melting_Curves/meltCurve_Q8IZJ3_2_CPAMD8.pdf</v>
      </c>
    </row>
    <row r="1010" spans="1:28" x14ac:dyDescent="0.25">
      <c r="A1010" t="s">
        <v>1014</v>
      </c>
      <c r="B1010">
        <v>1</v>
      </c>
      <c r="C1010">
        <v>0.750987550313582</v>
      </c>
      <c r="D1010">
        <v>1.0445380511092399</v>
      </c>
      <c r="E1010">
        <v>1.2735935598614601</v>
      </c>
      <c r="F1010">
        <v>1.11305812973884</v>
      </c>
      <c r="G1010">
        <v>1.0268838341289901</v>
      </c>
      <c r="H1010">
        <v>0.95224187962182905</v>
      </c>
      <c r="I1010">
        <v>1.2234578301975101</v>
      </c>
      <c r="J1010">
        <v>0.74907797435177403</v>
      </c>
      <c r="K1010">
        <v>1.06039502012543</v>
      </c>
      <c r="L1010">
        <v>1114.0725524964701</v>
      </c>
      <c r="M1010">
        <v>15.954793982096099</v>
      </c>
      <c r="O1010">
        <v>68.757482002543597</v>
      </c>
      <c r="P1010">
        <v>-1.80894687483189E-3</v>
      </c>
      <c r="Q1010">
        <v>0.96881971175353199</v>
      </c>
      <c r="R1010">
        <v>-1.2368048972320401E-2</v>
      </c>
      <c r="S1010" t="s">
        <v>2336</v>
      </c>
      <c r="T1010" t="s">
        <v>2650</v>
      </c>
      <c r="U1010" t="s">
        <v>2650</v>
      </c>
      <c r="V1010" t="s">
        <v>2650</v>
      </c>
      <c r="W1010" t="s">
        <v>3660</v>
      </c>
      <c r="X1010">
        <v>3</v>
      </c>
      <c r="Y1010" t="s">
        <v>4970</v>
      </c>
      <c r="Z1010" t="s">
        <v>6290</v>
      </c>
      <c r="AA1010">
        <v>0.99714795924933497</v>
      </c>
      <c r="AB1010" t="str">
        <f>HYPERLINK("Melting_Curves/meltCurve_Q8IZP9_10_ADGRG2.pdf", "Melting_Curves/meltCurve_Q8IZP9_10_ADGRG2.pdf")</f>
        <v>Melting_Curves/meltCurve_Q8IZP9_10_ADGRG2.pdf</v>
      </c>
    </row>
    <row r="1011" spans="1:28" x14ac:dyDescent="0.25">
      <c r="A1011" t="s">
        <v>1015</v>
      </c>
      <c r="B1011">
        <v>1</v>
      </c>
      <c r="C1011">
        <v>0.84162904439428099</v>
      </c>
      <c r="D1011">
        <v>1.18105718585403</v>
      </c>
      <c r="E1011">
        <v>1.32740782543266</v>
      </c>
      <c r="F1011">
        <v>1.29016177577126</v>
      </c>
      <c r="G1011">
        <v>1.0275583145222</v>
      </c>
      <c r="H1011">
        <v>1.0983822422874301</v>
      </c>
      <c r="I1011">
        <v>1.26175696012039</v>
      </c>
      <c r="J1011">
        <v>0.88150865312264903</v>
      </c>
      <c r="K1011">
        <v>1.1633747178329601</v>
      </c>
      <c r="L1011">
        <v>11139.599349120401</v>
      </c>
      <c r="M1011">
        <v>250</v>
      </c>
      <c r="O1011">
        <v>44.555546069267798</v>
      </c>
      <c r="P1011">
        <v>0.21589058593211999</v>
      </c>
      <c r="Q1011">
        <v>1.15390596658223</v>
      </c>
      <c r="R1011">
        <v>0.293016404350531</v>
      </c>
      <c r="S1011" t="s">
        <v>2337</v>
      </c>
      <c r="T1011" t="s">
        <v>2650</v>
      </c>
      <c r="U1011" t="s">
        <v>2650</v>
      </c>
      <c r="V1011" t="s">
        <v>2650</v>
      </c>
      <c r="W1011" t="s">
        <v>3661</v>
      </c>
      <c r="X1011">
        <v>2</v>
      </c>
      <c r="Y1011" t="s">
        <v>4971</v>
      </c>
      <c r="Z1011" t="s">
        <v>6291</v>
      </c>
      <c r="AA1011">
        <v>1.1305084459985939</v>
      </c>
      <c r="AB1011" t="str">
        <f>HYPERLINK("Melting_Curves/meltCurve_Q8N0X7_SPG20.pdf", "Melting_Curves/meltCurve_Q8N0X7_SPG20.pdf")</f>
        <v>Melting_Curves/meltCurve_Q8N0X7_SPG20.pdf</v>
      </c>
    </row>
    <row r="1012" spans="1:28" x14ac:dyDescent="0.25">
      <c r="A1012" t="s">
        <v>1016</v>
      </c>
      <c r="B1012">
        <v>1</v>
      </c>
      <c r="C1012">
        <v>0.837675190754398</v>
      </c>
      <c r="D1012">
        <v>1.0046611116432</v>
      </c>
      <c r="E1012">
        <v>1.1794687609743599</v>
      </c>
      <c r="F1012">
        <v>1.02403984292692</v>
      </c>
      <c r="G1012">
        <v>1.14372825080612</v>
      </c>
      <c r="H1012">
        <v>0.92625227468633298</v>
      </c>
      <c r="I1012">
        <v>1.00681607764263</v>
      </c>
      <c r="J1012">
        <v>0.80547840245187197</v>
      </c>
      <c r="K1012">
        <v>0.93578201321712495</v>
      </c>
      <c r="L1012">
        <v>14995.1511209859</v>
      </c>
      <c r="M1012">
        <v>230.06749983095199</v>
      </c>
      <c r="O1012">
        <v>65.1722564135695</v>
      </c>
      <c r="P1012">
        <v>-0.114173012635368</v>
      </c>
      <c r="Q1012">
        <v>0.87063078721412601</v>
      </c>
      <c r="R1012">
        <v>0.25165104114951398</v>
      </c>
      <c r="S1012" t="s">
        <v>2338</v>
      </c>
      <c r="T1012" t="s">
        <v>2650</v>
      </c>
      <c r="U1012" t="s">
        <v>2650</v>
      </c>
      <c r="V1012" t="s">
        <v>2650</v>
      </c>
      <c r="W1012" t="s">
        <v>3662</v>
      </c>
      <c r="X1012">
        <v>2</v>
      </c>
      <c r="Y1012" t="s">
        <v>4972</v>
      </c>
      <c r="Z1012" t="s">
        <v>6292</v>
      </c>
      <c r="AA1012">
        <v>0.97921999779582014</v>
      </c>
      <c r="AB1012" t="str">
        <f>HYPERLINK("Melting_Curves/meltCurve_Q8N114_2_SHISA5.pdf", "Melting_Curves/meltCurve_Q8N114_2_SHISA5.pdf")</f>
        <v>Melting_Curves/meltCurve_Q8N114_2_SHISA5.pdf</v>
      </c>
    </row>
    <row r="1013" spans="1:28" x14ac:dyDescent="0.25">
      <c r="A1013" t="s">
        <v>1017</v>
      </c>
      <c r="B1013">
        <v>1</v>
      </c>
      <c r="C1013">
        <v>0.62619729164372995</v>
      </c>
      <c r="D1013">
        <v>1.14452823956842</v>
      </c>
      <c r="E1013">
        <v>1.27276230320379</v>
      </c>
      <c r="F1013">
        <v>0.86064626224815599</v>
      </c>
      <c r="G1013">
        <v>0.87245403501045904</v>
      </c>
      <c r="H1013">
        <v>0.86805020367719898</v>
      </c>
      <c r="I1013">
        <v>1.0022844875041299</v>
      </c>
      <c r="J1013">
        <v>0.50492678630408505</v>
      </c>
      <c r="K1013">
        <v>0.86584828801056901</v>
      </c>
      <c r="L1013">
        <v>968.99380618019802</v>
      </c>
      <c r="M1013">
        <v>15.764118619434401</v>
      </c>
      <c r="O1013">
        <v>60.504656422594302</v>
      </c>
      <c r="P1013">
        <v>-1.8735918492222201E-2</v>
      </c>
      <c r="Q1013">
        <v>0.71238069894986999</v>
      </c>
      <c r="R1013">
        <v>0.16626445952393401</v>
      </c>
      <c r="S1013" t="s">
        <v>2339</v>
      </c>
      <c r="T1013" t="s">
        <v>2650</v>
      </c>
      <c r="U1013" t="s">
        <v>2650</v>
      </c>
      <c r="V1013" t="s">
        <v>2650</v>
      </c>
      <c r="W1013" t="s">
        <v>3663</v>
      </c>
      <c r="X1013">
        <v>2</v>
      </c>
      <c r="Y1013" t="s">
        <v>4973</v>
      </c>
      <c r="Z1013" t="s">
        <v>6293</v>
      </c>
      <c r="AA1013">
        <v>0.91857478151595773</v>
      </c>
      <c r="AB1013" t="str">
        <f>HYPERLINK("Melting_Curves/meltCurve_Q8N264_5_ARHGAP24.pdf", "Melting_Curves/meltCurve_Q8N264_5_ARHGAP24.pdf")</f>
        <v>Melting_Curves/meltCurve_Q8N264_5_ARHGAP24.pdf</v>
      </c>
    </row>
    <row r="1014" spans="1:28" x14ac:dyDescent="0.25">
      <c r="A1014" t="s">
        <v>1018</v>
      </c>
      <c r="B1014">
        <v>1</v>
      </c>
      <c r="C1014">
        <v>0.82718215427031805</v>
      </c>
      <c r="D1014">
        <v>1.1431793972053399</v>
      </c>
      <c r="E1014">
        <v>1.3253963280907299</v>
      </c>
      <c r="F1014">
        <v>1.0109029387806301</v>
      </c>
      <c r="G1014">
        <v>1.0649790087098201</v>
      </c>
      <c r="H1014">
        <v>0.911397957265493</v>
      </c>
      <c r="I1014">
        <v>1.05476533617395</v>
      </c>
      <c r="J1014">
        <v>0.67805000313302799</v>
      </c>
      <c r="K1014">
        <v>0.96359421016354396</v>
      </c>
      <c r="L1014">
        <v>15000</v>
      </c>
      <c r="M1014">
        <v>229.60109305646799</v>
      </c>
      <c r="O1014">
        <v>65.325741191030801</v>
      </c>
      <c r="P1014">
        <v>-0.15728350067170299</v>
      </c>
      <c r="Q1014">
        <v>0.82099978049324596</v>
      </c>
      <c r="R1014">
        <v>0.23096577342004199</v>
      </c>
      <c r="S1014" t="s">
        <v>2340</v>
      </c>
      <c r="T1014" t="s">
        <v>2650</v>
      </c>
      <c r="U1014" t="s">
        <v>2650</v>
      </c>
      <c r="V1014" t="s">
        <v>2650</v>
      </c>
      <c r="W1014" t="s">
        <v>3664</v>
      </c>
      <c r="X1014">
        <v>9</v>
      </c>
      <c r="Y1014" t="s">
        <v>4974</v>
      </c>
      <c r="Z1014" t="s">
        <v>6294</v>
      </c>
      <c r="AA1014">
        <v>0.97216413825962644</v>
      </c>
      <c r="AB1014" t="str">
        <f>HYPERLINK("Melting_Curves/meltCurve_Q8N2S1_2_LTBP4.pdf", "Melting_Curves/meltCurve_Q8N2S1_2_LTBP4.pdf")</f>
        <v>Melting_Curves/meltCurve_Q8N2S1_2_LTBP4.pdf</v>
      </c>
    </row>
    <row r="1015" spans="1:28" x14ac:dyDescent="0.25">
      <c r="A1015" t="s">
        <v>1019</v>
      </c>
      <c r="B1015">
        <v>1</v>
      </c>
      <c r="C1015">
        <v>0.77946356727760402</v>
      </c>
      <c r="D1015">
        <v>1.1457308895842599</v>
      </c>
      <c r="E1015">
        <v>1.4335270451497499</v>
      </c>
      <c r="F1015">
        <v>1.0691998211890901</v>
      </c>
      <c r="G1015">
        <v>1.2871703173893601</v>
      </c>
      <c r="H1015">
        <v>1.2098345999105899</v>
      </c>
      <c r="I1015">
        <v>1.4441662941439399</v>
      </c>
      <c r="J1015">
        <v>0.90898524810013404</v>
      </c>
      <c r="K1015">
        <v>1.32373714796603</v>
      </c>
      <c r="L1015">
        <v>11479.725854382899</v>
      </c>
      <c r="M1015">
        <v>250</v>
      </c>
      <c r="O1015">
        <v>45.915965516862499</v>
      </c>
      <c r="P1015">
        <v>0.32602659595038602</v>
      </c>
      <c r="Q1015">
        <v>1.2395172115619599</v>
      </c>
      <c r="R1015">
        <v>0.37533705872955803</v>
      </c>
      <c r="S1015" t="s">
        <v>2341</v>
      </c>
      <c r="T1015" t="s">
        <v>2650</v>
      </c>
      <c r="U1015" t="s">
        <v>2650</v>
      </c>
      <c r="V1015" t="s">
        <v>2650</v>
      </c>
      <c r="W1015" t="s">
        <v>3665</v>
      </c>
      <c r="X1015">
        <v>7</v>
      </c>
      <c r="Y1015" t="s">
        <v>4975</v>
      </c>
      <c r="Z1015" t="s">
        <v>6295</v>
      </c>
      <c r="AA1015">
        <v>1.192241934862083</v>
      </c>
      <c r="AB1015" t="str">
        <f>HYPERLINK("Melting_Curves/meltCurve_Q8N335_GPD1L.pdf", "Melting_Curves/meltCurve_Q8N335_GPD1L.pdf")</f>
        <v>Melting_Curves/meltCurve_Q8N335_GPD1L.pdf</v>
      </c>
    </row>
    <row r="1016" spans="1:28" x14ac:dyDescent="0.25">
      <c r="A1016" t="s">
        <v>1020</v>
      </c>
      <c r="B1016">
        <v>1</v>
      </c>
      <c r="C1016">
        <v>0.78337977551498705</v>
      </c>
      <c r="D1016">
        <v>1.4902471418526499</v>
      </c>
      <c r="E1016">
        <v>1.8162712570639901</v>
      </c>
      <c r="F1016">
        <v>1.3379515091538801</v>
      </c>
      <c r="G1016">
        <v>1.41542748509076</v>
      </c>
      <c r="H1016">
        <v>1.32581577645251</v>
      </c>
      <c r="I1016">
        <v>1.4739706763197</v>
      </c>
      <c r="J1016">
        <v>0.97156175942081802</v>
      </c>
      <c r="K1016">
        <v>1.43313627959061</v>
      </c>
      <c r="L1016">
        <v>11122.0274530725</v>
      </c>
      <c r="M1016">
        <v>250</v>
      </c>
      <c r="O1016">
        <v>44.4852629097307</v>
      </c>
      <c r="P1016">
        <v>0.57330092904141206</v>
      </c>
      <c r="Q1016">
        <v>1.40805508001889</v>
      </c>
      <c r="R1016">
        <v>0.48526265573252703</v>
      </c>
      <c r="S1016" t="s">
        <v>2342</v>
      </c>
      <c r="T1016" t="s">
        <v>2650</v>
      </c>
      <c r="U1016" t="s">
        <v>2650</v>
      </c>
      <c r="V1016" t="s">
        <v>2650</v>
      </c>
      <c r="W1016" t="s">
        <v>3666</v>
      </c>
      <c r="X1016">
        <v>1</v>
      </c>
      <c r="Y1016" t="s">
        <v>4976</v>
      </c>
      <c r="Z1016" t="s">
        <v>6296</v>
      </c>
      <c r="AA1016">
        <v>1.3469766871152229</v>
      </c>
      <c r="AB1016" t="str">
        <f>HYPERLINK("Melting_Curves/meltCurve_Q8N3T6_TMEM132C.pdf", "Melting_Curves/meltCurve_Q8N3T6_TMEM132C.pdf")</f>
        <v>Melting_Curves/meltCurve_Q8N3T6_TMEM132C.pdf</v>
      </c>
    </row>
    <row r="1017" spans="1:28" x14ac:dyDescent="0.25">
      <c r="A1017" t="s">
        <v>1021</v>
      </c>
      <c r="B1017">
        <v>1</v>
      </c>
      <c r="C1017">
        <v>0.77950601281774301</v>
      </c>
      <c r="D1017">
        <v>1.2252466335421599</v>
      </c>
      <c r="E1017">
        <v>1.4044069993519099</v>
      </c>
      <c r="F1017">
        <v>1.0382372002592399</v>
      </c>
      <c r="G1017">
        <v>1.06747317635198</v>
      </c>
      <c r="H1017">
        <v>0.92755814790811597</v>
      </c>
      <c r="I1017">
        <v>1.2183336933822999</v>
      </c>
      <c r="J1017">
        <v>0.74112479297184397</v>
      </c>
      <c r="K1017">
        <v>0.99366313818679297</v>
      </c>
      <c r="L1017">
        <v>1751.0322609919499</v>
      </c>
      <c r="M1017">
        <v>26.127878493089302</v>
      </c>
      <c r="O1017">
        <v>66.628882218824401</v>
      </c>
      <c r="P1017">
        <v>-9.8985409682594405E-3</v>
      </c>
      <c r="Q1017">
        <v>0.89903178820950702</v>
      </c>
      <c r="R1017">
        <v>-1.76665949789994E-2</v>
      </c>
      <c r="S1017" t="s">
        <v>2343</v>
      </c>
      <c r="T1017" t="s">
        <v>2650</v>
      </c>
      <c r="U1017" t="s">
        <v>2650</v>
      </c>
      <c r="V1017" t="s">
        <v>2650</v>
      </c>
      <c r="W1017" t="s">
        <v>3667</v>
      </c>
      <c r="X1017">
        <v>1</v>
      </c>
      <c r="Y1017" t="s">
        <v>4977</v>
      </c>
      <c r="Z1017" t="s">
        <v>6297</v>
      </c>
      <c r="AA1017">
        <v>0.98813361174975134</v>
      </c>
      <c r="AB1017" t="str">
        <f>HYPERLINK("Melting_Curves/meltCurve_Q8N474_SFRP1.pdf", "Melting_Curves/meltCurve_Q8N474_SFRP1.pdf")</f>
        <v>Melting_Curves/meltCurve_Q8N474_SFRP1.pdf</v>
      </c>
    </row>
    <row r="1018" spans="1:28" x14ac:dyDescent="0.25">
      <c r="A1018" t="s">
        <v>1022</v>
      </c>
      <c r="B1018">
        <v>1</v>
      </c>
      <c r="C1018">
        <v>1.0092211018559101</v>
      </c>
      <c r="D1018">
        <v>1.2756977933654801</v>
      </c>
      <c r="E1018">
        <v>1.4147742218325301</v>
      </c>
      <c r="F1018">
        <v>1.27162063422476</v>
      </c>
      <c r="G1018">
        <v>1.28674557942423</v>
      </c>
      <c r="H1018">
        <v>1.21367821131083</v>
      </c>
      <c r="I1018">
        <v>1.49700423790735</v>
      </c>
      <c r="J1018">
        <v>1.08255151249452</v>
      </c>
      <c r="K1018">
        <v>1.3652930001461301</v>
      </c>
      <c r="L1018">
        <v>3709.60192484463</v>
      </c>
      <c r="M1018">
        <v>82.920408477385706</v>
      </c>
      <c r="O1018">
        <v>44.710898110617201</v>
      </c>
      <c r="P1018">
        <v>0.14116865238478599</v>
      </c>
      <c r="Q1018">
        <v>1.30447397279785</v>
      </c>
      <c r="R1018">
        <v>0.55809848540669804</v>
      </c>
      <c r="S1018" t="s">
        <v>2344</v>
      </c>
      <c r="T1018" t="s">
        <v>2650</v>
      </c>
      <c r="U1018" t="s">
        <v>2650</v>
      </c>
      <c r="V1018" t="s">
        <v>2650</v>
      </c>
      <c r="W1018" t="s">
        <v>3668</v>
      </c>
      <c r="X1018">
        <v>5</v>
      </c>
      <c r="Y1018" t="s">
        <v>4978</v>
      </c>
      <c r="Z1018" t="s">
        <v>6298</v>
      </c>
      <c r="AA1018">
        <v>1.2561806423778681</v>
      </c>
      <c r="AB1018" t="str">
        <f>HYPERLINK("Melting_Curves/meltCurve_Q8N4F0_BPIFB2.pdf", "Melting_Curves/meltCurve_Q8N4F0_BPIFB2.pdf")</f>
        <v>Melting_Curves/meltCurve_Q8N4F0_BPIFB2.pdf</v>
      </c>
    </row>
    <row r="1019" spans="1:28" x14ac:dyDescent="0.25">
      <c r="A1019" t="s">
        <v>1023</v>
      </c>
      <c r="B1019">
        <v>1</v>
      </c>
      <c r="C1019">
        <v>0.61189427312775302</v>
      </c>
      <c r="D1019">
        <v>1.1226627508565801</v>
      </c>
      <c r="E1019">
        <v>1.27356828193833</v>
      </c>
      <c r="F1019">
        <v>0.99233969652471898</v>
      </c>
      <c r="G1019">
        <v>0.90318159569260903</v>
      </c>
      <c r="H1019">
        <v>0.86018110621634802</v>
      </c>
      <c r="I1019">
        <v>1.0753303964757699</v>
      </c>
      <c r="J1019">
        <v>0.60379344101811105</v>
      </c>
      <c r="K1019">
        <v>0.83492413117963804</v>
      </c>
      <c r="L1019">
        <v>7675.6560768161698</v>
      </c>
      <c r="M1019">
        <v>117.418912400598</v>
      </c>
      <c r="O1019">
        <v>65.350888574727804</v>
      </c>
      <c r="P1019">
        <v>-0.12633777344604599</v>
      </c>
      <c r="Q1019">
        <v>0.71874086196764897</v>
      </c>
      <c r="R1019">
        <v>0.24076294386493899</v>
      </c>
      <c r="S1019" t="s">
        <v>2345</v>
      </c>
      <c r="T1019" t="s">
        <v>2650</v>
      </c>
      <c r="U1019" t="s">
        <v>2650</v>
      </c>
      <c r="V1019" t="s">
        <v>2650</v>
      </c>
      <c r="W1019" t="s">
        <v>3669</v>
      </c>
      <c r="X1019">
        <v>1</v>
      </c>
      <c r="Y1019" t="s">
        <v>4979</v>
      </c>
      <c r="Z1019" t="s">
        <v>6299</v>
      </c>
      <c r="AA1019">
        <v>0.95673468858237443</v>
      </c>
      <c r="AB1019" t="str">
        <f>HYPERLINK("Melting_Curves/meltCurve_Q8N4V2_SVOP.pdf", "Melting_Curves/meltCurve_Q8N4V2_SVOP.pdf")</f>
        <v>Melting_Curves/meltCurve_Q8N4V2_SVOP.pdf</v>
      </c>
    </row>
    <row r="1020" spans="1:28" x14ac:dyDescent="0.25">
      <c r="A1020" t="s">
        <v>1024</v>
      </c>
      <c r="B1020">
        <v>1</v>
      </c>
      <c r="C1020">
        <v>1.0171234878148601</v>
      </c>
      <c r="D1020">
        <v>1.26596925954065</v>
      </c>
      <c r="E1020">
        <v>1.5411723452749699</v>
      </c>
      <c r="F1020">
        <v>1.296066857577</v>
      </c>
      <c r="G1020">
        <v>1.2430600198702599</v>
      </c>
      <c r="H1020">
        <v>1.21898194144118</v>
      </c>
      <c r="I1020">
        <v>1.2961252995149299</v>
      </c>
      <c r="J1020">
        <v>0.82555081526503404</v>
      </c>
      <c r="K1020">
        <v>1.0774940097013599</v>
      </c>
      <c r="L1020">
        <v>10831.1709902696</v>
      </c>
      <c r="M1020">
        <v>250</v>
      </c>
      <c r="O1020">
        <v>43.321911912940102</v>
      </c>
      <c r="P1020">
        <v>0.31818854638508198</v>
      </c>
      <c r="Q1020">
        <v>1.2205525763312699</v>
      </c>
      <c r="R1020">
        <v>0.19722358711499499</v>
      </c>
      <c r="S1020" t="s">
        <v>2346</v>
      </c>
      <c r="T1020" t="s">
        <v>2650</v>
      </c>
      <c r="U1020" t="s">
        <v>2650</v>
      </c>
      <c r="V1020" t="s">
        <v>2650</v>
      </c>
      <c r="W1020" t="s">
        <v>3670</v>
      </c>
      <c r="X1020">
        <v>1</v>
      </c>
      <c r="Y1020" t="s">
        <v>4980</v>
      </c>
      <c r="Z1020" t="s">
        <v>6300</v>
      </c>
      <c r="AA1020">
        <v>1.1960935530333441</v>
      </c>
      <c r="AB1020" t="str">
        <f>HYPERLINK("Melting_Curves/meltCurve_Q8N4X5_2_AFAP1L2.pdf", "Melting_Curves/meltCurve_Q8N4X5_2_AFAP1L2.pdf")</f>
        <v>Melting_Curves/meltCurve_Q8N4X5_2_AFAP1L2.pdf</v>
      </c>
    </row>
    <row r="1021" spans="1:28" x14ac:dyDescent="0.25">
      <c r="A1021" t="s">
        <v>1025</v>
      </c>
      <c r="B1021">
        <v>1</v>
      </c>
      <c r="C1021">
        <v>0.75689923751742205</v>
      </c>
      <c r="D1021">
        <v>1.2187423136836899</v>
      </c>
      <c r="E1021">
        <v>1.47372304665082</v>
      </c>
      <c r="F1021">
        <v>1.1540542756415499</v>
      </c>
      <c r="G1021">
        <v>1.2185783389358</v>
      </c>
      <c r="H1021">
        <v>1.2190702631794701</v>
      </c>
      <c r="I1021">
        <v>1.44494547839633</v>
      </c>
      <c r="J1021">
        <v>0.80847749446585204</v>
      </c>
      <c r="K1021">
        <v>1.20316471263425</v>
      </c>
      <c r="L1021">
        <v>11213.041342005399</v>
      </c>
      <c r="M1021">
        <v>250</v>
      </c>
      <c r="O1021">
        <v>44.849295571466499</v>
      </c>
      <c r="P1021">
        <v>0.30329377848749101</v>
      </c>
      <c r="Q1021">
        <v>1.21764019465</v>
      </c>
      <c r="R1021">
        <v>0.30742372987454297</v>
      </c>
      <c r="S1021" t="s">
        <v>2347</v>
      </c>
      <c r="T1021" t="s">
        <v>2650</v>
      </c>
      <c r="U1021" t="s">
        <v>2650</v>
      </c>
      <c r="V1021" t="s">
        <v>2650</v>
      </c>
      <c r="W1021" t="s">
        <v>3671</v>
      </c>
      <c r="X1021">
        <v>9</v>
      </c>
      <c r="Y1021" t="s">
        <v>4981</v>
      </c>
      <c r="Z1021" t="s">
        <v>6301</v>
      </c>
      <c r="AA1021">
        <v>1.1824221892952449</v>
      </c>
      <c r="AB1021" t="str">
        <f>HYPERLINK("Melting_Curves/meltCurve_Q8N6G6_ADAMTSL1.pdf", "Melting_Curves/meltCurve_Q8N6G6_ADAMTSL1.pdf")</f>
        <v>Melting_Curves/meltCurve_Q8N6G6_ADAMTSL1.pdf</v>
      </c>
    </row>
    <row r="1022" spans="1:28" x14ac:dyDescent="0.25">
      <c r="A1022" t="s">
        <v>1026</v>
      </c>
      <c r="B1022">
        <v>1</v>
      </c>
      <c r="C1022">
        <v>0.80275385795890497</v>
      </c>
      <c r="D1022">
        <v>1.3505840225083099</v>
      </c>
      <c r="E1022">
        <v>2.0802284934777</v>
      </c>
      <c r="F1022">
        <v>1.7747463551880001</v>
      </c>
      <c r="G1022">
        <v>1.8844743797425201</v>
      </c>
      <c r="H1022">
        <v>1.6683860516668101</v>
      </c>
      <c r="I1022">
        <v>2.1383323386478001</v>
      </c>
      <c r="J1022">
        <v>1.32010401568761</v>
      </c>
      <c r="K1022">
        <v>1.82116975019183</v>
      </c>
      <c r="L1022">
        <v>11460.7681700953</v>
      </c>
      <c r="M1022">
        <v>250</v>
      </c>
      <c r="O1022">
        <v>45.8401640089672</v>
      </c>
      <c r="P1022">
        <v>0.68171695275072897</v>
      </c>
      <c r="Q1022">
        <v>1.5</v>
      </c>
      <c r="R1022">
        <v>0.35670556151913901</v>
      </c>
      <c r="S1022" t="s">
        <v>2348</v>
      </c>
      <c r="T1022" t="s">
        <v>2650</v>
      </c>
      <c r="U1022" t="s">
        <v>2650</v>
      </c>
      <c r="V1022" t="s">
        <v>2650</v>
      </c>
      <c r="W1022" t="s">
        <v>3672</v>
      </c>
      <c r="X1022">
        <v>7</v>
      </c>
      <c r="Y1022" t="s">
        <v>4982</v>
      </c>
      <c r="Z1022" t="s">
        <v>6302</v>
      </c>
      <c r="AA1022">
        <v>1.4025752283874411</v>
      </c>
      <c r="AB1022" t="str">
        <f>HYPERLINK("Melting_Curves/meltCurve_Q8N6Q3_CD177.pdf", "Melting_Curves/meltCurve_Q8N6Q3_CD177.pdf")</f>
        <v>Melting_Curves/meltCurve_Q8N6Q3_CD177.pdf</v>
      </c>
    </row>
    <row r="1023" spans="1:28" x14ac:dyDescent="0.25">
      <c r="A1023" t="s">
        <v>1027</v>
      </c>
      <c r="B1023">
        <v>1</v>
      </c>
      <c r="C1023">
        <v>0.70312805474095796</v>
      </c>
      <c r="D1023">
        <v>1.15210166177908</v>
      </c>
      <c r="E1023">
        <v>1.3233626588465299</v>
      </c>
      <c r="F1023">
        <v>0.94164222873900305</v>
      </c>
      <c r="G1023">
        <v>0.97976539589442802</v>
      </c>
      <c r="H1023">
        <v>0.94647116324535696</v>
      </c>
      <c r="I1023">
        <v>1.06920821114369</v>
      </c>
      <c r="J1023">
        <v>0.62636363636363601</v>
      </c>
      <c r="K1023">
        <v>0.90147605083089</v>
      </c>
      <c r="L1023">
        <v>15000</v>
      </c>
      <c r="M1023">
        <v>229.46589155408199</v>
      </c>
      <c r="O1023">
        <v>65.364228968781205</v>
      </c>
      <c r="P1023">
        <v>-0.20712611707679501</v>
      </c>
      <c r="Q1023">
        <v>0.76399736914017202</v>
      </c>
      <c r="R1023">
        <v>0.27005393873092498</v>
      </c>
      <c r="S1023" t="s">
        <v>2349</v>
      </c>
      <c r="T1023" t="s">
        <v>2650</v>
      </c>
      <c r="U1023" t="s">
        <v>2650</v>
      </c>
      <c r="V1023" t="s">
        <v>2650</v>
      </c>
      <c r="W1023" t="s">
        <v>3673</v>
      </c>
      <c r="X1023">
        <v>14</v>
      </c>
      <c r="Y1023" t="s">
        <v>4983</v>
      </c>
      <c r="Z1023" t="s">
        <v>6303</v>
      </c>
      <c r="AA1023">
        <v>0.96360271141317777</v>
      </c>
      <c r="AB1023" t="str">
        <f>HYPERLINK("Melting_Curves/meltCurve_Q8NBJ4_2_GOLM1.pdf", "Melting_Curves/meltCurve_Q8NBJ4_2_GOLM1.pdf")</f>
        <v>Melting_Curves/meltCurve_Q8NBJ4_2_GOLM1.pdf</v>
      </c>
    </row>
    <row r="1024" spans="1:28" x14ac:dyDescent="0.25">
      <c r="A1024" t="s">
        <v>1028</v>
      </c>
      <c r="B1024">
        <v>1</v>
      </c>
      <c r="C1024">
        <v>0.61115843697698002</v>
      </c>
      <c r="D1024">
        <v>0.86556558863912003</v>
      </c>
      <c r="E1024">
        <v>1.3770156643048299</v>
      </c>
      <c r="F1024">
        <v>2.3702909371523599</v>
      </c>
      <c r="G1024">
        <v>3.39373227367936</v>
      </c>
      <c r="H1024">
        <v>3.4972589972038799</v>
      </c>
      <c r="I1024">
        <v>3.4637856906625499</v>
      </c>
      <c r="J1024">
        <v>2.51500786722923</v>
      </c>
      <c r="K1024">
        <v>3.5288281336126102</v>
      </c>
      <c r="L1024">
        <v>12443.9879202871</v>
      </c>
      <c r="M1024">
        <v>250</v>
      </c>
      <c r="O1024">
        <v>49.7727663441174</v>
      </c>
      <c r="P1024">
        <v>0.62785338907287502</v>
      </c>
      <c r="Q1024">
        <v>1.5</v>
      </c>
      <c r="R1024">
        <v>-0.34831462382478201</v>
      </c>
      <c r="S1024" t="s">
        <v>2350</v>
      </c>
      <c r="T1024" t="s">
        <v>2650</v>
      </c>
      <c r="U1024" t="s">
        <v>2650</v>
      </c>
      <c r="V1024" t="s">
        <v>2650</v>
      </c>
      <c r="W1024" t="s">
        <v>3674</v>
      </c>
      <c r="X1024">
        <v>1</v>
      </c>
      <c r="Y1024" t="s">
        <v>4984</v>
      </c>
      <c r="Z1024" t="s">
        <v>6304</v>
      </c>
      <c r="AA1024">
        <v>1.337023793970602</v>
      </c>
      <c r="AB1024" t="str">
        <f>HYPERLINK("Melting_Curves/meltCurve_Q8NBL1_POGLUT1.pdf", "Melting_Curves/meltCurve_Q8NBL1_POGLUT1.pdf")</f>
        <v>Melting_Curves/meltCurve_Q8NBL1_POGLUT1.pdf</v>
      </c>
    </row>
    <row r="1025" spans="1:28" x14ac:dyDescent="0.25">
      <c r="A1025" t="s">
        <v>1029</v>
      </c>
      <c r="B1025">
        <v>1</v>
      </c>
      <c r="C1025">
        <v>0.80206443540819505</v>
      </c>
      <c r="D1025">
        <v>1.2121989365029699</v>
      </c>
      <c r="E1025">
        <v>1.51323115420707</v>
      </c>
      <c r="F1025">
        <v>1.1587738504848299</v>
      </c>
      <c r="G1025">
        <v>1.2145136065061</v>
      </c>
      <c r="H1025">
        <v>1.1922427275570799</v>
      </c>
      <c r="I1025">
        <v>1.3780419142946501</v>
      </c>
      <c r="J1025">
        <v>0.90409759149202396</v>
      </c>
      <c r="K1025">
        <v>1.2350328432905799</v>
      </c>
      <c r="L1025">
        <v>11380.4925055687</v>
      </c>
      <c r="M1025">
        <v>250</v>
      </c>
      <c r="O1025">
        <v>45.519032875550003</v>
      </c>
      <c r="P1025">
        <v>0.31304281660809302</v>
      </c>
      <c r="Q1025">
        <v>1.2279906213194001</v>
      </c>
      <c r="R1025">
        <v>0.370442534453572</v>
      </c>
      <c r="S1025" t="s">
        <v>2351</v>
      </c>
      <c r="T1025" t="s">
        <v>2650</v>
      </c>
      <c r="U1025" t="s">
        <v>2650</v>
      </c>
      <c r="V1025" t="s">
        <v>2650</v>
      </c>
      <c r="W1025" t="s">
        <v>3675</v>
      </c>
      <c r="X1025">
        <v>6</v>
      </c>
      <c r="Y1025" t="s">
        <v>4985</v>
      </c>
      <c r="Z1025" t="s">
        <v>6305</v>
      </c>
      <c r="AA1025">
        <v>1.186007161192931</v>
      </c>
      <c r="AB1025" t="str">
        <f>HYPERLINK("Melting_Curves/meltCurve_Q8NBS9_2_TXNDC5.pdf", "Melting_Curves/meltCurve_Q8NBS9_2_TXNDC5.pdf")</f>
        <v>Melting_Curves/meltCurve_Q8NBS9_2_TXNDC5.pdf</v>
      </c>
    </row>
    <row r="1026" spans="1:28" x14ac:dyDescent="0.25">
      <c r="A1026" t="s">
        <v>1030</v>
      </c>
      <c r="B1026">
        <v>1</v>
      </c>
      <c r="C1026">
        <v>1.0081276784394899</v>
      </c>
      <c r="D1026">
        <v>1.26466676518398</v>
      </c>
      <c r="E1026">
        <v>1.4419650920315901</v>
      </c>
      <c r="F1026">
        <v>1.3444493703101701</v>
      </c>
      <c r="G1026">
        <v>1.56250102622203</v>
      </c>
      <c r="H1026">
        <v>1.3954977587310999</v>
      </c>
      <c r="I1026">
        <v>1.64835886573732</v>
      </c>
      <c r="J1026">
        <v>1.3039423345319601</v>
      </c>
      <c r="K1026">
        <v>1.5643071769863599</v>
      </c>
      <c r="L1026">
        <v>1840.67741474592</v>
      </c>
      <c r="M1026">
        <v>40.200532602894398</v>
      </c>
      <c r="O1026">
        <v>45.674519294137397</v>
      </c>
      <c r="P1026">
        <v>0.103187905201852</v>
      </c>
      <c r="Q1026">
        <v>1.46895388264051</v>
      </c>
      <c r="R1026">
        <v>0.776108221676996</v>
      </c>
      <c r="S1026" t="s">
        <v>2352</v>
      </c>
      <c r="T1026" t="s">
        <v>2650</v>
      </c>
      <c r="U1026" t="s">
        <v>2650</v>
      </c>
      <c r="V1026" t="s">
        <v>2650</v>
      </c>
      <c r="W1026" t="s">
        <v>3676</v>
      </c>
      <c r="X1026">
        <v>2</v>
      </c>
      <c r="Y1026" t="s">
        <v>4986</v>
      </c>
      <c r="Z1026" t="s">
        <v>6306</v>
      </c>
      <c r="AA1026">
        <v>1.376978145293674</v>
      </c>
      <c r="AB1026" t="str">
        <f>HYPERLINK("Melting_Curves/meltCurve_Q8NCC3_PLA2G15.pdf", "Melting_Curves/meltCurve_Q8NCC3_PLA2G15.pdf")</f>
        <v>Melting_Curves/meltCurve_Q8NCC3_PLA2G15.pdf</v>
      </c>
    </row>
    <row r="1027" spans="1:28" x14ac:dyDescent="0.25">
      <c r="A1027" t="s">
        <v>1031</v>
      </c>
      <c r="B1027">
        <v>1</v>
      </c>
      <c r="C1027">
        <v>0.78576089320669895</v>
      </c>
      <c r="D1027">
        <v>0.976352739312212</v>
      </c>
      <c r="E1027">
        <v>1.2941347060102999</v>
      </c>
      <c r="F1027">
        <v>1.1450252543560699</v>
      </c>
      <c r="G1027">
        <v>1.4629401387177099</v>
      </c>
      <c r="H1027">
        <v>1.66582082698954</v>
      </c>
      <c r="I1027">
        <v>2.1388868749848999</v>
      </c>
      <c r="J1027">
        <v>1.4075980569854301</v>
      </c>
      <c r="K1027">
        <v>1.79716764542401</v>
      </c>
      <c r="L1027">
        <v>1335.3274928753499</v>
      </c>
      <c r="M1027">
        <v>25.6920286288005</v>
      </c>
      <c r="O1027">
        <v>51.662584720860302</v>
      </c>
      <c r="P1027">
        <v>6.2163805976620502E-2</v>
      </c>
      <c r="Q1027">
        <v>1.5</v>
      </c>
      <c r="R1027">
        <v>0.58767316255931801</v>
      </c>
      <c r="S1027" t="s">
        <v>2353</v>
      </c>
      <c r="T1027" t="s">
        <v>2650</v>
      </c>
      <c r="U1027" t="s">
        <v>2650</v>
      </c>
      <c r="V1027" t="s">
        <v>2650</v>
      </c>
      <c r="W1027" t="s">
        <v>3677</v>
      </c>
      <c r="X1027">
        <v>2</v>
      </c>
      <c r="Y1027" t="s">
        <v>4987</v>
      </c>
      <c r="Z1027" t="s">
        <v>6307</v>
      </c>
      <c r="AA1027">
        <v>1.29609793037579</v>
      </c>
      <c r="AB1027" t="str">
        <f>HYPERLINK("Melting_Curves/meltCurve_Q8NCH0_CHST14.pdf", "Melting_Curves/meltCurve_Q8NCH0_CHST14.pdf")</f>
        <v>Melting_Curves/meltCurve_Q8NCH0_CHST14.pdf</v>
      </c>
    </row>
    <row r="1028" spans="1:28" x14ac:dyDescent="0.25">
      <c r="A1028" t="s">
        <v>1032</v>
      </c>
      <c r="B1028">
        <v>1</v>
      </c>
      <c r="C1028">
        <v>0.59050857937857504</v>
      </c>
      <c r="D1028">
        <v>1.14391714329881</v>
      </c>
      <c r="E1028">
        <v>1.5856778481991001</v>
      </c>
      <c r="F1028">
        <v>1.3959653733189099</v>
      </c>
      <c r="G1028">
        <v>1.875753594064</v>
      </c>
      <c r="H1028">
        <v>2.3107126294636</v>
      </c>
      <c r="I1028">
        <v>2.7860565775235702</v>
      </c>
      <c r="J1028">
        <v>1.5401143917143301</v>
      </c>
      <c r="K1028">
        <v>2.0457180398825199</v>
      </c>
      <c r="L1028">
        <v>11541.672586835701</v>
      </c>
      <c r="M1028">
        <v>250</v>
      </c>
      <c r="O1028">
        <v>46.163735999443197</v>
      </c>
      <c r="P1028">
        <v>0.67693828000679601</v>
      </c>
      <c r="Q1028">
        <v>1.5</v>
      </c>
      <c r="R1028">
        <v>0.22927077947320099</v>
      </c>
      <c r="S1028" t="s">
        <v>2354</v>
      </c>
      <c r="T1028" t="s">
        <v>2650</v>
      </c>
      <c r="U1028" t="s">
        <v>2650</v>
      </c>
      <c r="V1028" t="s">
        <v>2650</v>
      </c>
      <c r="W1028" t="s">
        <v>3678</v>
      </c>
      <c r="X1028">
        <v>2</v>
      </c>
      <c r="Y1028" t="s">
        <v>4988</v>
      </c>
      <c r="Z1028" t="s">
        <v>6308</v>
      </c>
      <c r="AA1028">
        <v>1.3971813166327629</v>
      </c>
      <c r="AB1028" t="str">
        <f>HYPERLINK("Melting_Curves/meltCurve_Q8NCL4_GALNT6.pdf", "Melting_Curves/meltCurve_Q8NCL4_GALNT6.pdf")</f>
        <v>Melting_Curves/meltCurve_Q8NCL4_GALNT6.pdf</v>
      </c>
    </row>
    <row r="1029" spans="1:28" x14ac:dyDescent="0.25">
      <c r="A1029" t="s">
        <v>1033</v>
      </c>
      <c r="B1029">
        <v>1</v>
      </c>
      <c r="C1029">
        <v>0.78953037483843203</v>
      </c>
      <c r="D1029">
        <v>1.2358897027143501</v>
      </c>
      <c r="E1029">
        <v>1.3884101680310199</v>
      </c>
      <c r="F1029">
        <v>0.91304035616831802</v>
      </c>
      <c r="G1029">
        <v>1.0443415194600001</v>
      </c>
      <c r="H1029">
        <v>0.95181674565560803</v>
      </c>
      <c r="I1029">
        <v>1.0670328881229401</v>
      </c>
      <c r="J1029">
        <v>0.64569869309205796</v>
      </c>
      <c r="K1029">
        <v>0.98958782134137602</v>
      </c>
      <c r="L1029">
        <v>15000</v>
      </c>
      <c r="M1029">
        <v>229.59475324873301</v>
      </c>
      <c r="O1029">
        <v>65.327558283872506</v>
      </c>
      <c r="P1029">
        <v>-0.15998744826244299</v>
      </c>
      <c r="Q1029">
        <v>0.81791243390899204</v>
      </c>
      <c r="R1029">
        <v>0.1681386180635</v>
      </c>
      <c r="S1029" t="s">
        <v>2355</v>
      </c>
      <c r="T1029" t="s">
        <v>2650</v>
      </c>
      <c r="U1029" t="s">
        <v>2650</v>
      </c>
      <c r="V1029" t="s">
        <v>2650</v>
      </c>
      <c r="W1029" t="s">
        <v>3679</v>
      </c>
      <c r="X1029">
        <v>1</v>
      </c>
      <c r="Y1029" t="s">
        <v>4989</v>
      </c>
      <c r="Z1029" t="s">
        <v>6309</v>
      </c>
      <c r="AA1029">
        <v>0.97169498441942559</v>
      </c>
      <c r="AB1029" t="str">
        <f>HYPERLINK("Melting_Curves/meltCurve_Q8NFT8_DNER.pdf", "Melting_Curves/meltCurve_Q8NFT8_DNER.pdf")</f>
        <v>Melting_Curves/meltCurve_Q8NFT8_DNER.pdf</v>
      </c>
    </row>
    <row r="1030" spans="1:28" x14ac:dyDescent="0.25">
      <c r="A1030" t="s">
        <v>1034</v>
      </c>
      <c r="B1030">
        <v>1</v>
      </c>
      <c r="C1030">
        <v>0.78967574578469502</v>
      </c>
      <c r="D1030">
        <v>1.1114396887159499</v>
      </c>
      <c r="E1030">
        <v>1.3100389105058401</v>
      </c>
      <c r="F1030">
        <v>1.0227237354085601</v>
      </c>
      <c r="G1030">
        <v>1.02448767833982</v>
      </c>
      <c r="H1030">
        <v>0.94236057068741896</v>
      </c>
      <c r="I1030">
        <v>1.0784435797665399</v>
      </c>
      <c r="J1030">
        <v>0.64700389105058398</v>
      </c>
      <c r="K1030">
        <v>0.958910505836576</v>
      </c>
      <c r="L1030">
        <v>15000</v>
      </c>
      <c r="M1030">
        <v>229.46895590583401</v>
      </c>
      <c r="O1030">
        <v>65.363356095073499</v>
      </c>
      <c r="P1030">
        <v>-0.17274565094993499</v>
      </c>
      <c r="Q1030">
        <v>0.803176248811167</v>
      </c>
      <c r="R1030">
        <v>0.26313080417610701</v>
      </c>
      <c r="S1030" t="s">
        <v>2356</v>
      </c>
      <c r="T1030" t="s">
        <v>2650</v>
      </c>
      <c r="U1030" t="s">
        <v>2650</v>
      </c>
      <c r="V1030" t="s">
        <v>2650</v>
      </c>
      <c r="W1030" t="s">
        <v>3680</v>
      </c>
      <c r="X1030">
        <v>8</v>
      </c>
      <c r="Y1030" t="s">
        <v>4990</v>
      </c>
      <c r="Z1030" t="s">
        <v>6310</v>
      </c>
      <c r="AA1030">
        <v>0.96963930978539736</v>
      </c>
      <c r="AB1030" t="str">
        <f>HYPERLINK("Melting_Curves/meltCurve_Q8NFZ8_CADM4.pdf", "Melting_Curves/meltCurve_Q8NFZ8_CADM4.pdf")</f>
        <v>Melting_Curves/meltCurve_Q8NFZ8_CADM4.pdf</v>
      </c>
    </row>
    <row r="1031" spans="1:28" x14ac:dyDescent="0.25">
      <c r="A1031" t="s">
        <v>1035</v>
      </c>
      <c r="B1031">
        <v>1</v>
      </c>
      <c r="C1031">
        <v>1.05574409926442</v>
      </c>
      <c r="D1031">
        <v>1.49398792979008</v>
      </c>
      <c r="E1031">
        <v>2.2789047743362199</v>
      </c>
      <c r="F1031">
        <v>1.94428661373793</v>
      </c>
      <c r="G1031">
        <v>2.3748829066785402</v>
      </c>
      <c r="H1031">
        <v>2.28504737480612</v>
      </c>
      <c r="I1031">
        <v>2.92357069365316</v>
      </c>
      <c r="J1031">
        <v>2.1497565994563801</v>
      </c>
      <c r="K1031">
        <v>2.6992122114897299</v>
      </c>
      <c r="L1031">
        <v>4250.2628738317999</v>
      </c>
      <c r="M1031">
        <v>96.997002455162502</v>
      </c>
      <c r="O1031">
        <v>43.799881309815902</v>
      </c>
      <c r="P1031">
        <v>0.27681869916375601</v>
      </c>
      <c r="Q1031">
        <v>1.5</v>
      </c>
      <c r="R1031">
        <v>-0.59368992758981898</v>
      </c>
      <c r="S1031" t="s">
        <v>2357</v>
      </c>
      <c r="T1031" t="s">
        <v>2650</v>
      </c>
      <c r="U1031" t="s">
        <v>2650</v>
      </c>
      <c r="V1031" t="s">
        <v>2650</v>
      </c>
      <c r="W1031" t="s">
        <v>3681</v>
      </c>
      <c r="X1031">
        <v>1</v>
      </c>
      <c r="Y1031" t="s">
        <v>4991</v>
      </c>
      <c r="Z1031" t="s">
        <v>6311</v>
      </c>
      <c r="AA1031">
        <v>1.4361020495908869</v>
      </c>
      <c r="AB1031" t="str">
        <f>HYPERLINK("Melting_Curves/meltCurve_Q8NHP8_2_PLBD2.pdf", "Melting_Curves/meltCurve_Q8NHP8_2_PLBD2.pdf")</f>
        <v>Melting_Curves/meltCurve_Q8NHP8_2_PLBD2.pdf</v>
      </c>
    </row>
    <row r="1032" spans="1:28" x14ac:dyDescent="0.25">
      <c r="A1032" t="s">
        <v>1036</v>
      </c>
      <c r="B1032">
        <v>1</v>
      </c>
      <c r="C1032">
        <v>0.62384342861073805</v>
      </c>
      <c r="D1032">
        <v>1.0563409348880399</v>
      </c>
      <c r="E1032">
        <v>1.2806383930106999</v>
      </c>
      <c r="F1032">
        <v>0.84876001788601096</v>
      </c>
      <c r="G1032">
        <v>0.86640525573556204</v>
      </c>
      <c r="H1032">
        <v>0.87579541155023599</v>
      </c>
      <c r="I1032">
        <v>0.95944690950366296</v>
      </c>
      <c r="J1032">
        <v>0.486809066831768</v>
      </c>
      <c r="K1032">
        <v>0.78822274963024097</v>
      </c>
      <c r="L1032">
        <v>940.67943602507899</v>
      </c>
      <c r="M1032">
        <v>14.848624041689099</v>
      </c>
      <c r="O1032">
        <v>62.235546426200699</v>
      </c>
      <c r="P1032">
        <v>-2.3368926618731599E-2</v>
      </c>
      <c r="Q1032">
        <v>0.60825325508571504</v>
      </c>
      <c r="R1032">
        <v>0.212683888164033</v>
      </c>
      <c r="S1032" t="s">
        <v>2358</v>
      </c>
      <c r="T1032" t="s">
        <v>2650</v>
      </c>
      <c r="U1032" t="s">
        <v>2650</v>
      </c>
      <c r="V1032" t="s">
        <v>2650</v>
      </c>
      <c r="W1032" t="s">
        <v>3639</v>
      </c>
      <c r="X1032">
        <v>1</v>
      </c>
      <c r="Y1032" t="s">
        <v>4302</v>
      </c>
      <c r="Z1032" t="s">
        <v>6312</v>
      </c>
      <c r="AA1032">
        <v>0.90844604095320314</v>
      </c>
      <c r="AB1032" t="str">
        <f>HYPERLINK("Melting_Curves/meltCurve_Q8QPI8_NS.pdf", "Melting_Curves/meltCurve_Q8QPI8_NS.pdf")</f>
        <v>Melting_Curves/meltCurve_Q8QPI8_NS.pdf</v>
      </c>
    </row>
    <row r="1033" spans="1:28" x14ac:dyDescent="0.25">
      <c r="A1033" t="s">
        <v>1037</v>
      </c>
      <c r="B1033">
        <v>1</v>
      </c>
      <c r="C1033">
        <v>0.82577020040165805</v>
      </c>
      <c r="D1033">
        <v>1.19632098448917</v>
      </c>
      <c r="E1033">
        <v>1.37095671495107</v>
      </c>
      <c r="F1033">
        <v>1.04230226893988</v>
      </c>
      <c r="G1033">
        <v>1.13675597145665</v>
      </c>
      <c r="H1033">
        <v>0.92723155151048997</v>
      </c>
      <c r="I1033">
        <v>1.0744349015083501</v>
      </c>
      <c r="J1033">
        <v>0.73080374310985796</v>
      </c>
      <c r="K1033">
        <v>0.99081314361406703</v>
      </c>
      <c r="L1033">
        <v>15000</v>
      </c>
      <c r="M1033">
        <v>229.404248025486</v>
      </c>
      <c r="O1033">
        <v>65.381793749548507</v>
      </c>
      <c r="P1033">
        <v>-0.12188132229885899</v>
      </c>
      <c r="Q1033">
        <v>0.86105193965438298</v>
      </c>
      <c r="R1033">
        <v>9.8572420647161499E-2</v>
      </c>
      <c r="S1033" t="s">
        <v>2359</v>
      </c>
      <c r="T1033" t="s">
        <v>2650</v>
      </c>
      <c r="U1033" t="s">
        <v>2650</v>
      </c>
      <c r="V1033" t="s">
        <v>2650</v>
      </c>
      <c r="W1033" t="s">
        <v>3682</v>
      </c>
      <c r="X1033">
        <v>3</v>
      </c>
      <c r="Y1033" t="s">
        <v>4992</v>
      </c>
      <c r="Z1033" t="s">
        <v>6313</v>
      </c>
      <c r="AA1033">
        <v>0.97865223463139839</v>
      </c>
      <c r="AB1033" t="str">
        <f>HYPERLINK("Melting_Curves/meltCurve_Q8TB96_ITFG1.pdf", "Melting_Curves/meltCurve_Q8TB96_ITFG1.pdf")</f>
        <v>Melting_Curves/meltCurve_Q8TB96_ITFG1.pdf</v>
      </c>
    </row>
    <row r="1034" spans="1:28" x14ac:dyDescent="0.25">
      <c r="A1034" t="s">
        <v>1038</v>
      </c>
      <c r="B1034">
        <v>1</v>
      </c>
      <c r="C1034">
        <v>0.81133545413231201</v>
      </c>
      <c r="D1034">
        <v>1.1303642147633599</v>
      </c>
      <c r="E1034">
        <v>1.3644095306109201</v>
      </c>
      <c r="F1034">
        <v>1.30864117379731</v>
      </c>
      <c r="G1034">
        <v>1.51905472959813</v>
      </c>
      <c r="H1034">
        <v>1.54891904174511</v>
      </c>
      <c r="I1034">
        <v>2.2547555670973201</v>
      </c>
      <c r="J1034">
        <v>1.6416931766539</v>
      </c>
      <c r="K1034">
        <v>2.1636044926313098</v>
      </c>
      <c r="L1034">
        <v>1293.84683735986</v>
      </c>
      <c r="M1034">
        <v>26.4946460515214</v>
      </c>
      <c r="O1034">
        <v>48.5586180643486</v>
      </c>
      <c r="P1034">
        <v>6.8203467251233399E-2</v>
      </c>
      <c r="Q1034">
        <v>1.5</v>
      </c>
      <c r="R1034">
        <v>0.43450467367989798</v>
      </c>
      <c r="S1034" t="s">
        <v>2360</v>
      </c>
      <c r="T1034" t="s">
        <v>2650</v>
      </c>
      <c r="U1034" t="s">
        <v>2650</v>
      </c>
      <c r="V1034" t="s">
        <v>2650</v>
      </c>
      <c r="W1034" t="s">
        <v>3683</v>
      </c>
      <c r="X1034">
        <v>1</v>
      </c>
      <c r="Y1034" t="s">
        <v>4993</v>
      </c>
      <c r="Z1034" t="s">
        <v>6314</v>
      </c>
      <c r="AA1034">
        <v>1.3488367208800891</v>
      </c>
      <c r="AB1034" t="str">
        <f>HYPERLINK("Melting_Curves/meltCurve_Q8TBX8_2_PIP4K2C.pdf", "Melting_Curves/meltCurve_Q8TBX8_2_PIP4K2C.pdf")</f>
        <v>Melting_Curves/meltCurve_Q8TBX8_2_PIP4K2C.pdf</v>
      </c>
    </row>
    <row r="1035" spans="1:28" x14ac:dyDescent="0.25">
      <c r="A1035" t="s">
        <v>1039</v>
      </c>
      <c r="B1035">
        <v>1</v>
      </c>
      <c r="C1035">
        <v>0.76103136143366501</v>
      </c>
      <c r="D1035">
        <v>1.23955380817409</v>
      </c>
      <c r="E1035">
        <v>1.45314071500411</v>
      </c>
      <c r="F1035">
        <v>1.0032915790436101</v>
      </c>
      <c r="G1035">
        <v>0.94678613879491602</v>
      </c>
      <c r="H1035">
        <v>0.981896315260126</v>
      </c>
      <c r="I1035">
        <v>1.1837798299350799</v>
      </c>
      <c r="J1035">
        <v>0.70302642406509996</v>
      </c>
      <c r="K1035">
        <v>1.0231324860565101</v>
      </c>
      <c r="L1035">
        <v>15000</v>
      </c>
      <c r="M1035">
        <v>229.05990215155401</v>
      </c>
      <c r="O1035">
        <v>65.480062028392098</v>
      </c>
      <c r="P1035">
        <v>-0.119286945117559</v>
      </c>
      <c r="Q1035">
        <v>0.86360045600725599</v>
      </c>
      <c r="R1035">
        <v>6.4708175410031196E-2</v>
      </c>
      <c r="S1035" t="s">
        <v>2361</v>
      </c>
      <c r="T1035" t="s">
        <v>2650</v>
      </c>
      <c r="U1035" t="s">
        <v>2650</v>
      </c>
      <c r="V1035" t="s">
        <v>2650</v>
      </c>
      <c r="W1035" t="s">
        <v>3684</v>
      </c>
      <c r="X1035">
        <v>1</v>
      </c>
      <c r="Y1035" t="s">
        <v>4994</v>
      </c>
      <c r="Z1035" t="s">
        <v>6315</v>
      </c>
      <c r="AA1035">
        <v>0.97949078597477246</v>
      </c>
      <c r="AB1035" t="str">
        <f>HYPERLINK("Melting_Curves/meltCurve_Q8TD19_NEK9.pdf", "Melting_Curves/meltCurve_Q8TD19_NEK9.pdf")</f>
        <v>Melting_Curves/meltCurve_Q8TD19_NEK9.pdf</v>
      </c>
    </row>
    <row r="1036" spans="1:28" x14ac:dyDescent="0.25">
      <c r="A1036" t="s">
        <v>1040</v>
      </c>
      <c r="B1036">
        <v>1</v>
      </c>
      <c r="C1036">
        <v>0.92347543687819</v>
      </c>
      <c r="D1036">
        <v>1.0435331718129801</v>
      </c>
      <c r="E1036">
        <v>1.1192329501520699</v>
      </c>
      <c r="F1036">
        <v>0.98216402907366396</v>
      </c>
      <c r="G1036">
        <v>1.23341409350997</v>
      </c>
      <c r="H1036">
        <v>0.78303005309551998</v>
      </c>
      <c r="I1036">
        <v>0.89063869271611895</v>
      </c>
      <c r="J1036">
        <v>0.86795711119129804</v>
      </c>
      <c r="K1036">
        <v>0.85025001288726199</v>
      </c>
      <c r="L1036">
        <v>6569.2769088742598</v>
      </c>
      <c r="M1036">
        <v>110.833331003864</v>
      </c>
      <c r="O1036">
        <v>59.252387158492098</v>
      </c>
      <c r="P1036">
        <v>-7.1393100063415302E-2</v>
      </c>
      <c r="Q1036">
        <v>0.84733072272872201</v>
      </c>
      <c r="R1036">
        <v>0.48932534724433602</v>
      </c>
      <c r="S1036" t="s">
        <v>2362</v>
      </c>
      <c r="T1036" t="s">
        <v>2650</v>
      </c>
      <c r="U1036" t="s">
        <v>2650</v>
      </c>
      <c r="V1036" t="s">
        <v>2650</v>
      </c>
      <c r="W1036" t="s">
        <v>3685</v>
      </c>
      <c r="X1036">
        <v>1</v>
      </c>
      <c r="Y1036" t="s">
        <v>4995</v>
      </c>
      <c r="Z1036" t="s">
        <v>6316</v>
      </c>
      <c r="AA1036">
        <v>0.94548467340236486</v>
      </c>
      <c r="AB1036" t="str">
        <f>HYPERLINK("Melting_Curves/meltCurve_Q8TE56_ADAMTS17.pdf", "Melting_Curves/meltCurve_Q8TE56_ADAMTS17.pdf")</f>
        <v>Melting_Curves/meltCurve_Q8TE56_ADAMTS17.pdf</v>
      </c>
    </row>
    <row r="1037" spans="1:28" x14ac:dyDescent="0.25">
      <c r="A1037" t="s">
        <v>1041</v>
      </c>
      <c r="B1037">
        <v>1</v>
      </c>
      <c r="C1037">
        <v>0.74850953704591205</v>
      </c>
      <c r="D1037">
        <v>1.4297517492571601</v>
      </c>
      <c r="E1037">
        <v>1.45892840026838</v>
      </c>
      <c r="F1037">
        <v>1.07761909326177</v>
      </c>
      <c r="G1037">
        <v>1.0662321479919501</v>
      </c>
      <c r="H1037">
        <v>0.99353972970382398</v>
      </c>
      <c r="I1037">
        <v>1.16294450301927</v>
      </c>
      <c r="J1037">
        <v>0.78510495542988601</v>
      </c>
      <c r="K1037">
        <v>1.22365570785009</v>
      </c>
      <c r="L1037">
        <v>15000</v>
      </c>
      <c r="M1037">
        <v>214.07378730396701</v>
      </c>
      <c r="Q1037">
        <v>1.5</v>
      </c>
      <c r="R1037">
        <v>-7.8723427668775797E-2</v>
      </c>
      <c r="S1037" t="s">
        <v>2363</v>
      </c>
      <c r="T1037" t="s">
        <v>2650</v>
      </c>
      <c r="U1037" t="s">
        <v>2650</v>
      </c>
      <c r="V1037" t="s">
        <v>2650</v>
      </c>
      <c r="W1037" t="s">
        <v>3686</v>
      </c>
      <c r="X1037">
        <v>1</v>
      </c>
      <c r="Y1037" t="s">
        <v>4996</v>
      </c>
      <c r="Z1037" t="s">
        <v>6317</v>
      </c>
      <c r="AA1037">
        <v>1.0031930362076149</v>
      </c>
      <c r="AB1037" t="str">
        <f>HYPERLINK("Melting_Curves/meltCurve_Q8TE68_4_EPS8L1.pdf", "Melting_Curves/meltCurve_Q8TE68_4_EPS8L1.pdf")</f>
        <v>Melting_Curves/meltCurve_Q8TE68_4_EPS8L1.pdf</v>
      </c>
    </row>
    <row r="1038" spans="1:28" x14ac:dyDescent="0.25">
      <c r="A1038" t="s">
        <v>1042</v>
      </c>
      <c r="B1038">
        <v>1</v>
      </c>
      <c r="C1038">
        <v>0.86905583576674605</v>
      </c>
      <c r="D1038">
        <v>1.07282541368021</v>
      </c>
      <c r="E1038">
        <v>1.0661003451022</v>
      </c>
      <c r="F1038">
        <v>1.0213255464118201</v>
      </c>
      <c r="G1038">
        <v>0.99053181134412904</v>
      </c>
      <c r="H1038">
        <v>0.91071586585257902</v>
      </c>
      <c r="I1038">
        <v>1.0240686664896901</v>
      </c>
      <c r="J1038">
        <v>0.73792584727015298</v>
      </c>
      <c r="K1038">
        <v>0.86991416688788603</v>
      </c>
      <c r="L1038">
        <v>10711.791238756299</v>
      </c>
      <c r="M1038">
        <v>164.031388731877</v>
      </c>
      <c r="O1038">
        <v>65.293595661459705</v>
      </c>
      <c r="P1038">
        <v>-0.123444810190184</v>
      </c>
      <c r="Q1038">
        <v>0.803448461219468</v>
      </c>
      <c r="R1038">
        <v>0.55652602537645801</v>
      </c>
      <c r="S1038" t="s">
        <v>2364</v>
      </c>
      <c r="T1038" t="s">
        <v>2650</v>
      </c>
      <c r="U1038" t="s">
        <v>2650</v>
      </c>
      <c r="V1038" t="s">
        <v>2650</v>
      </c>
      <c r="W1038" t="s">
        <v>3687</v>
      </c>
      <c r="X1038">
        <v>1</v>
      </c>
      <c r="Y1038" t="s">
        <v>4997</v>
      </c>
      <c r="Z1038" t="s">
        <v>6318</v>
      </c>
      <c r="AA1038">
        <v>0.96928084638756917</v>
      </c>
      <c r="AB1038" t="str">
        <f>HYPERLINK("Melting_Curves/meltCurve_Q8TE73_DNAH5.pdf", "Melting_Curves/meltCurve_Q8TE73_DNAH5.pdf")</f>
        <v>Melting_Curves/meltCurve_Q8TE73_DNAH5.pdf</v>
      </c>
    </row>
    <row r="1039" spans="1:28" x14ac:dyDescent="0.25">
      <c r="A1039" t="s">
        <v>1043</v>
      </c>
      <c r="B1039">
        <v>1</v>
      </c>
      <c r="C1039">
        <v>1.6111495246326699</v>
      </c>
      <c r="D1039">
        <v>3.5708729472774401</v>
      </c>
      <c r="E1039">
        <v>4.4566119273984404</v>
      </c>
      <c r="F1039">
        <v>3.6057044079515999</v>
      </c>
      <c r="G1039">
        <v>4.0358686257562697</v>
      </c>
      <c r="H1039">
        <v>3.1808988764044899</v>
      </c>
      <c r="I1039">
        <v>4.0933448573898001</v>
      </c>
      <c r="J1039">
        <v>3.4781331028521998</v>
      </c>
      <c r="K1039">
        <v>4.2002592912705303</v>
      </c>
      <c r="L1039">
        <v>10251.6110695228</v>
      </c>
      <c r="M1039">
        <v>250</v>
      </c>
      <c r="O1039">
        <v>41.003820443428602</v>
      </c>
      <c r="P1039">
        <v>0.76212411262412405</v>
      </c>
      <c r="Q1039">
        <v>1.5</v>
      </c>
      <c r="R1039">
        <v>-2.8275462528831601</v>
      </c>
      <c r="S1039" t="s">
        <v>2365</v>
      </c>
      <c r="T1039" t="s">
        <v>2650</v>
      </c>
      <c r="U1039" t="s">
        <v>2650</v>
      </c>
      <c r="V1039" t="s">
        <v>2650</v>
      </c>
      <c r="W1039" t="s">
        <v>3688</v>
      </c>
      <c r="X1039">
        <v>1</v>
      </c>
      <c r="Y1039" t="s">
        <v>4998</v>
      </c>
      <c r="Z1039" t="s">
        <v>6319</v>
      </c>
      <c r="AA1039">
        <v>1.483185164218733</v>
      </c>
      <c r="AB1039" t="str">
        <f>HYPERLINK("Melting_Curves/meltCurve_Q8TE96_2_DQX1.pdf", "Melting_Curves/meltCurve_Q8TE96_2_DQX1.pdf")</f>
        <v>Melting_Curves/meltCurve_Q8TE96_2_DQX1.pdf</v>
      </c>
    </row>
    <row r="1040" spans="1:28" x14ac:dyDescent="0.25">
      <c r="A1040" t="s">
        <v>1044</v>
      </c>
      <c r="B1040">
        <v>1</v>
      </c>
      <c r="C1040">
        <v>0.96212292467284599</v>
      </c>
      <c r="D1040">
        <v>1.54208424383995</v>
      </c>
      <c r="E1040">
        <v>1.6358978223193399</v>
      </c>
      <c r="F1040">
        <v>1.60789189460729</v>
      </c>
      <c r="G1040">
        <v>1.77994624871273</v>
      </c>
      <c r="H1040">
        <v>1.6578755682817199</v>
      </c>
      <c r="I1040">
        <v>2.3395624544746698</v>
      </c>
      <c r="J1040">
        <v>1.1899002838268899</v>
      </c>
      <c r="K1040">
        <v>1.7182829728983</v>
      </c>
      <c r="L1040">
        <v>11098.188323082601</v>
      </c>
      <c r="M1040">
        <v>250</v>
      </c>
      <c r="O1040">
        <v>44.389912518192297</v>
      </c>
      <c r="P1040">
        <v>0.70398877383293901</v>
      </c>
      <c r="Q1040">
        <v>1.5</v>
      </c>
      <c r="R1040">
        <v>0.34504052693767301</v>
      </c>
      <c r="S1040" t="s">
        <v>2366</v>
      </c>
      <c r="T1040" t="s">
        <v>2650</v>
      </c>
      <c r="U1040" t="s">
        <v>2650</v>
      </c>
      <c r="V1040" t="s">
        <v>2650</v>
      </c>
      <c r="W1040" t="s">
        <v>3689</v>
      </c>
      <c r="X1040">
        <v>1</v>
      </c>
      <c r="Y1040" t="s">
        <v>4999</v>
      </c>
      <c r="Z1040" t="s">
        <v>6320</v>
      </c>
      <c r="AA1040">
        <v>1.4267484908322621</v>
      </c>
      <c r="AB1040" t="str">
        <f>HYPERLINK("Melting_Curves/meltCurve_Q8TEA8_DTD1.pdf", "Melting_Curves/meltCurve_Q8TEA8_DTD1.pdf")</f>
        <v>Melting_Curves/meltCurve_Q8TEA8_DTD1.pdf</v>
      </c>
    </row>
    <row r="1041" spans="1:28" x14ac:dyDescent="0.25">
      <c r="A1041" t="s">
        <v>1045</v>
      </c>
      <c r="B1041">
        <v>1</v>
      </c>
      <c r="C1041">
        <v>1.06834170854271</v>
      </c>
      <c r="D1041">
        <v>1.50531227566403</v>
      </c>
      <c r="E1041">
        <v>1.9303661162957599</v>
      </c>
      <c r="F1041">
        <v>1.5842785355348199</v>
      </c>
      <c r="G1041">
        <v>1.96424982053123</v>
      </c>
      <c r="H1041">
        <v>1.5292893036611599</v>
      </c>
      <c r="I1041">
        <v>1.6513998564249801</v>
      </c>
      <c r="J1041">
        <v>1.41407035175879</v>
      </c>
      <c r="K1041">
        <v>1.70617372577172</v>
      </c>
      <c r="L1041">
        <v>10804.069583761</v>
      </c>
      <c r="M1041">
        <v>250</v>
      </c>
      <c r="O1041">
        <v>43.213512791667398</v>
      </c>
      <c r="P1041">
        <v>0.72315343109946595</v>
      </c>
      <c r="Q1041">
        <v>1.5</v>
      </c>
      <c r="R1041">
        <v>0.46812864545009603</v>
      </c>
      <c r="S1041" t="s">
        <v>2367</v>
      </c>
      <c r="T1041" t="s">
        <v>2650</v>
      </c>
      <c r="U1041" t="s">
        <v>2650</v>
      </c>
      <c r="V1041" t="s">
        <v>2650</v>
      </c>
      <c r="W1041" t="s">
        <v>3690</v>
      </c>
      <c r="X1041">
        <v>1</v>
      </c>
      <c r="Y1041" t="s">
        <v>5000</v>
      </c>
      <c r="Z1041" t="s">
        <v>6321</v>
      </c>
      <c r="AA1041">
        <v>1.4463574391300971</v>
      </c>
      <c r="AB1041" t="str">
        <f>HYPERLINK("Melting_Curves/meltCurve_Q8TED9_4_AFAP1L1.pdf", "Melting_Curves/meltCurve_Q8TED9_4_AFAP1L1.pdf")</f>
        <v>Melting_Curves/meltCurve_Q8TED9_4_AFAP1L1.pdf</v>
      </c>
    </row>
    <row r="1042" spans="1:28" x14ac:dyDescent="0.25">
      <c r="A1042" t="s">
        <v>1046</v>
      </c>
      <c r="B1042">
        <v>1</v>
      </c>
      <c r="C1042">
        <v>1.18696438399245</v>
      </c>
      <c r="D1042">
        <v>1.4170453652016699</v>
      </c>
      <c r="E1042">
        <v>1.9207484865162401</v>
      </c>
      <c r="F1042">
        <v>1.5889613963361899</v>
      </c>
      <c r="G1042">
        <v>2.0878999921377499</v>
      </c>
      <c r="H1042">
        <v>2.3527006840160398</v>
      </c>
      <c r="I1042">
        <v>4.6462772230521301</v>
      </c>
      <c r="J1042">
        <v>3.7263935844012899</v>
      </c>
      <c r="K1042">
        <v>5.3439735828288404</v>
      </c>
      <c r="L1042">
        <v>1922.3365262335001</v>
      </c>
      <c r="M1042">
        <v>44.218438882439102</v>
      </c>
      <c r="O1042">
        <v>43.3850086836824</v>
      </c>
      <c r="P1042">
        <v>0.12740144541974299</v>
      </c>
      <c r="Q1042">
        <v>1.5</v>
      </c>
      <c r="R1042">
        <v>-0.49275702374484098</v>
      </c>
      <c r="S1042" t="s">
        <v>2368</v>
      </c>
      <c r="T1042" t="s">
        <v>2650</v>
      </c>
      <c r="U1042" t="s">
        <v>2650</v>
      </c>
      <c r="V1042" t="s">
        <v>2650</v>
      </c>
      <c r="W1042" t="s">
        <v>3691</v>
      </c>
      <c r="X1042">
        <v>1</v>
      </c>
      <c r="Y1042" t="s">
        <v>5001</v>
      </c>
      <c r="Z1042" t="s">
        <v>6322</v>
      </c>
      <c r="AA1042">
        <v>1.4405947336261959</v>
      </c>
      <c r="AB1042" t="str">
        <f>HYPERLINK("Melting_Curves/meltCurve_Q8TER0_5_SNED1.pdf", "Melting_Curves/meltCurve_Q8TER0_5_SNED1.pdf")</f>
        <v>Melting_Curves/meltCurve_Q8TER0_5_SNED1.pdf</v>
      </c>
    </row>
    <row r="1043" spans="1:28" x14ac:dyDescent="0.25">
      <c r="A1043" t="s">
        <v>1047</v>
      </c>
      <c r="B1043">
        <v>1</v>
      </c>
      <c r="C1043">
        <v>0.83404823181774901</v>
      </c>
      <c r="D1043">
        <v>1.1973119816986</v>
      </c>
      <c r="E1043">
        <v>1.31620754297334</v>
      </c>
      <c r="F1043">
        <v>0.91716709560575704</v>
      </c>
      <c r="G1043">
        <v>1.18698567025705</v>
      </c>
      <c r="H1043">
        <v>1.0358720172846601</v>
      </c>
      <c r="I1043">
        <v>0.85984812378864395</v>
      </c>
      <c r="J1043">
        <v>0.84875925396371499</v>
      </c>
      <c r="K1043">
        <v>1.0897277031106001</v>
      </c>
      <c r="L1043">
        <v>11103.721526081101</v>
      </c>
      <c r="M1043">
        <v>250</v>
      </c>
      <c r="O1043">
        <v>44.412043860105101</v>
      </c>
      <c r="P1043">
        <v>7.9482903101666502E-2</v>
      </c>
      <c r="Q1043">
        <v>1.0564799707750001</v>
      </c>
      <c r="R1043">
        <v>6.8832681121525296E-2</v>
      </c>
      <c r="S1043" t="s">
        <v>2369</v>
      </c>
      <c r="T1043" t="s">
        <v>2650</v>
      </c>
      <c r="U1043" t="s">
        <v>2650</v>
      </c>
      <c r="V1043" t="s">
        <v>2650</v>
      </c>
      <c r="W1043" t="s">
        <v>3692</v>
      </c>
      <c r="X1043">
        <v>2</v>
      </c>
      <c r="Y1043" t="s">
        <v>5002</v>
      </c>
      <c r="Z1043" t="s">
        <v>6323</v>
      </c>
      <c r="AA1043">
        <v>1.048163813701307</v>
      </c>
      <c r="AB1043" t="str">
        <f>HYPERLINK("Melting_Curves/meltCurve_Q8TF72_SHROOM3.pdf", "Melting_Curves/meltCurve_Q8TF72_SHROOM3.pdf")</f>
        <v>Melting_Curves/meltCurve_Q8TF72_SHROOM3.pdf</v>
      </c>
    </row>
    <row r="1044" spans="1:28" x14ac:dyDescent="0.25">
      <c r="A1044" t="s">
        <v>1048</v>
      </c>
      <c r="B1044">
        <v>1</v>
      </c>
      <c r="C1044">
        <v>0.70983935742971904</v>
      </c>
      <c r="D1044">
        <v>1.1587550200803201</v>
      </c>
      <c r="E1044">
        <v>1.2966265060241</v>
      </c>
      <c r="F1044">
        <v>0.84216867469879497</v>
      </c>
      <c r="G1044">
        <v>0.92915662650602404</v>
      </c>
      <c r="H1044">
        <v>0.83839357429718897</v>
      </c>
      <c r="I1044">
        <v>0.87710843373493996</v>
      </c>
      <c r="J1044">
        <v>0.51156626506024105</v>
      </c>
      <c r="K1044">
        <v>0.81257028112449803</v>
      </c>
      <c r="L1044">
        <v>1268.29772331193</v>
      </c>
      <c r="M1044">
        <v>20.782838155431001</v>
      </c>
      <c r="O1044">
        <v>60.469621107785898</v>
      </c>
      <c r="P1044">
        <v>-2.77002830550649E-2</v>
      </c>
      <c r="Q1044">
        <v>0.67762270633705102</v>
      </c>
      <c r="R1044">
        <v>0.33784795731089301</v>
      </c>
      <c r="S1044" t="s">
        <v>2370</v>
      </c>
      <c r="T1044" t="s">
        <v>2650</v>
      </c>
      <c r="U1044" t="s">
        <v>2650</v>
      </c>
      <c r="V1044" t="s">
        <v>2650</v>
      </c>
      <c r="W1044" t="s">
        <v>3693</v>
      </c>
      <c r="X1044">
        <v>1</v>
      </c>
      <c r="Y1044" t="s">
        <v>5003</v>
      </c>
      <c r="Z1044" t="s">
        <v>6324</v>
      </c>
      <c r="AA1044">
        <v>0.90555870687510021</v>
      </c>
      <c r="AB1044" t="str">
        <f>HYPERLINK("Melting_Curves/meltCurve_Q8TF74_WIPF2.pdf", "Melting_Curves/meltCurve_Q8TF74_WIPF2.pdf")</f>
        <v>Melting_Curves/meltCurve_Q8TF74_WIPF2.pdf</v>
      </c>
    </row>
    <row r="1045" spans="1:28" x14ac:dyDescent="0.25">
      <c r="A1045" t="s">
        <v>1049</v>
      </c>
      <c r="B1045">
        <v>1</v>
      </c>
      <c r="C1045">
        <v>0.70165388064162604</v>
      </c>
      <c r="D1045">
        <v>1.0929560625685</v>
      </c>
      <c r="E1045">
        <v>1.54747434492378</v>
      </c>
      <c r="F1045">
        <v>1.2377204343927499</v>
      </c>
      <c r="G1045">
        <v>1.64361861113879</v>
      </c>
      <c r="H1045">
        <v>2.0166384377802098</v>
      </c>
      <c r="I1045">
        <v>4.9454020125535498</v>
      </c>
      <c r="J1045">
        <v>2.7277074823154299</v>
      </c>
      <c r="K1045">
        <v>4.6267809106306697</v>
      </c>
      <c r="L1045">
        <v>11567.932535350999</v>
      </c>
      <c r="M1045">
        <v>250</v>
      </c>
      <c r="O1045">
        <v>46.2687690703752</v>
      </c>
      <c r="P1045">
        <v>0.67540158671033101</v>
      </c>
      <c r="Q1045">
        <v>1.5</v>
      </c>
      <c r="R1045">
        <v>-0.163290921910304</v>
      </c>
      <c r="S1045" t="s">
        <v>2371</v>
      </c>
      <c r="T1045" t="s">
        <v>2650</v>
      </c>
      <c r="U1045" t="s">
        <v>2650</v>
      </c>
      <c r="V1045" t="s">
        <v>2650</v>
      </c>
      <c r="W1045" t="s">
        <v>3694</v>
      </c>
      <c r="X1045">
        <v>1</v>
      </c>
      <c r="Y1045" t="s">
        <v>5004</v>
      </c>
      <c r="Z1045" t="s">
        <v>6325</v>
      </c>
      <c r="AA1045">
        <v>1.3954305612268081</v>
      </c>
      <c r="AB1045" t="str">
        <f>HYPERLINK("Melting_Curves/meltCurve_Q8WUD1_2_RAB2B.pdf", "Melting_Curves/meltCurve_Q8WUD1_2_RAB2B.pdf")</f>
        <v>Melting_Curves/meltCurve_Q8WUD1_2_RAB2B.pdf</v>
      </c>
    </row>
    <row r="1046" spans="1:28" x14ac:dyDescent="0.25">
      <c r="A1046" t="s">
        <v>1050</v>
      </c>
      <c r="B1046">
        <v>1</v>
      </c>
      <c r="C1046">
        <v>0.76104844558937501</v>
      </c>
      <c r="D1046">
        <v>1.1396593552259699</v>
      </c>
      <c r="E1046">
        <v>1.1867543706075101</v>
      </c>
      <c r="F1046">
        <v>0.99364730010254398</v>
      </c>
      <c r="G1046">
        <v>0.982792686891929</v>
      </c>
      <c r="H1046">
        <v>1.40069529550059</v>
      </c>
      <c r="I1046">
        <v>1.31853537753545</v>
      </c>
      <c r="J1046">
        <v>0.968486606807893</v>
      </c>
      <c r="K1046">
        <v>1.37110772078133</v>
      </c>
      <c r="L1046">
        <v>745.80572551945102</v>
      </c>
      <c r="M1046">
        <v>13.0440101710797</v>
      </c>
      <c r="O1046">
        <v>55.882355733256198</v>
      </c>
      <c r="P1046">
        <v>1.65133237602599E-2</v>
      </c>
      <c r="Q1046">
        <v>1.28293211256795</v>
      </c>
      <c r="R1046">
        <v>0.30552227677921601</v>
      </c>
      <c r="S1046" t="s">
        <v>2372</v>
      </c>
      <c r="T1046" t="s">
        <v>2650</v>
      </c>
      <c r="U1046" t="s">
        <v>2650</v>
      </c>
      <c r="V1046" t="s">
        <v>2650</v>
      </c>
      <c r="W1046" t="s">
        <v>3695</v>
      </c>
      <c r="X1046">
        <v>4</v>
      </c>
      <c r="Y1046" t="s">
        <v>5005</v>
      </c>
      <c r="Z1046" t="s">
        <v>6326</v>
      </c>
      <c r="AA1046">
        <v>1.116373580380944</v>
      </c>
      <c r="AB1046" t="str">
        <f>HYPERLINK("Melting_Curves/meltCurve_Q8WUM4_PDCD6IP.pdf", "Melting_Curves/meltCurve_Q8WUM4_PDCD6IP.pdf")</f>
        <v>Melting_Curves/meltCurve_Q8WUM4_PDCD6IP.pdf</v>
      </c>
    </row>
    <row r="1047" spans="1:28" x14ac:dyDescent="0.25">
      <c r="A1047" t="s">
        <v>1051</v>
      </c>
      <c r="B1047">
        <v>1</v>
      </c>
      <c r="C1047">
        <v>0.89379457571199805</v>
      </c>
      <c r="D1047">
        <v>1.16615722995811</v>
      </c>
      <c r="E1047">
        <v>1.1944754419161301</v>
      </c>
      <c r="F1047">
        <v>0.89033364061261799</v>
      </c>
      <c r="G1047">
        <v>1.1960118383387499</v>
      </c>
      <c r="H1047">
        <v>0.88271634887519601</v>
      </c>
      <c r="I1047">
        <v>1.0468681771869399</v>
      </c>
      <c r="J1047">
        <v>0.75262400336389901</v>
      </c>
      <c r="K1047">
        <v>0.87273785842511298</v>
      </c>
      <c r="L1047">
        <v>15000</v>
      </c>
      <c r="M1047">
        <v>229.245817874088</v>
      </c>
      <c r="O1047">
        <v>65.426988952652806</v>
      </c>
      <c r="P1047">
        <v>-0.164218799329059</v>
      </c>
      <c r="Q1047">
        <v>0.81252721670508998</v>
      </c>
      <c r="R1047">
        <v>0.31392865346235499</v>
      </c>
      <c r="S1047" t="s">
        <v>2373</v>
      </c>
      <c r="T1047" t="s">
        <v>2650</v>
      </c>
      <c r="U1047" t="s">
        <v>2650</v>
      </c>
      <c r="V1047" t="s">
        <v>2650</v>
      </c>
      <c r="W1047" t="s">
        <v>3696</v>
      </c>
      <c r="X1047">
        <v>1</v>
      </c>
      <c r="Y1047" t="s">
        <v>5006</v>
      </c>
      <c r="Z1047" t="s">
        <v>6327</v>
      </c>
      <c r="AA1047">
        <v>0.97147941009211203</v>
      </c>
      <c r="AB1047" t="str">
        <f>HYPERLINK("Melting_Curves/meltCurve_Q8WUW1_BRK1.pdf", "Melting_Curves/meltCurve_Q8WUW1_BRK1.pdf")</f>
        <v>Melting_Curves/meltCurve_Q8WUW1_BRK1.pdf</v>
      </c>
    </row>
    <row r="1048" spans="1:28" x14ac:dyDescent="0.25">
      <c r="A1048" t="s">
        <v>1052</v>
      </c>
      <c r="B1048">
        <v>1</v>
      </c>
      <c r="C1048">
        <v>0.82578000944165497</v>
      </c>
      <c r="D1048">
        <v>1.2936998412085301</v>
      </c>
      <c r="E1048">
        <v>1.75535384747436</v>
      </c>
      <c r="F1048">
        <v>1.8991674177073901</v>
      </c>
      <c r="G1048">
        <v>2.4644865027252001</v>
      </c>
      <c r="H1048">
        <v>2.56362387880348</v>
      </c>
      <c r="I1048">
        <v>3.18591476760654</v>
      </c>
      <c r="J1048">
        <v>2.1069481996480799</v>
      </c>
      <c r="K1048">
        <v>2.93764216128063</v>
      </c>
      <c r="L1048">
        <v>11483.751604593999</v>
      </c>
      <c r="M1048">
        <v>250</v>
      </c>
      <c r="O1048">
        <v>45.932067571442097</v>
      </c>
      <c r="P1048">
        <v>0.68035257625930101</v>
      </c>
      <c r="Q1048">
        <v>1.5</v>
      </c>
      <c r="R1048">
        <v>-0.314286371272192</v>
      </c>
      <c r="S1048" t="s">
        <v>2374</v>
      </c>
      <c r="T1048" t="s">
        <v>2650</v>
      </c>
      <c r="U1048" t="s">
        <v>2650</v>
      </c>
      <c r="V1048" t="s">
        <v>2650</v>
      </c>
      <c r="W1048" t="s">
        <v>3697</v>
      </c>
      <c r="X1048">
        <v>12</v>
      </c>
      <c r="Y1048" t="s">
        <v>5007</v>
      </c>
      <c r="Z1048" t="s">
        <v>6328</v>
      </c>
      <c r="AA1048">
        <v>1.4010429187497211</v>
      </c>
      <c r="AB1048" t="str">
        <f>HYPERLINK("Melting_Curves/meltCurve_Q8WVQ1_3_CANT1.pdf", "Melting_Curves/meltCurve_Q8WVQ1_3_CANT1.pdf")</f>
        <v>Melting_Curves/meltCurve_Q8WVQ1_3_CANT1.pdf</v>
      </c>
    </row>
    <row r="1049" spans="1:28" x14ac:dyDescent="0.25">
      <c r="A1049" t="s">
        <v>1053</v>
      </c>
      <c r="B1049">
        <v>1</v>
      </c>
      <c r="C1049">
        <v>0.73147914670432201</v>
      </c>
      <c r="D1049">
        <v>1.0226940339906201</v>
      </c>
      <c r="E1049">
        <v>1.07912653184729</v>
      </c>
      <c r="F1049">
        <v>1.0192899288920301</v>
      </c>
      <c r="G1049">
        <v>0.86237329164355203</v>
      </c>
      <c r="H1049">
        <v>0.84910988955570099</v>
      </c>
      <c r="I1049">
        <v>1.1409551666750699</v>
      </c>
      <c r="J1049">
        <v>0.66712895254425297</v>
      </c>
      <c r="K1049">
        <v>0.88262141308185005</v>
      </c>
      <c r="L1049">
        <v>380.46091865114403</v>
      </c>
      <c r="M1049">
        <v>3.8123661608936699</v>
      </c>
      <c r="Q1049">
        <v>0</v>
      </c>
      <c r="R1049">
        <v>5.88311121478216E-2</v>
      </c>
      <c r="S1049" t="s">
        <v>2375</v>
      </c>
      <c r="T1049" t="s">
        <v>2650</v>
      </c>
      <c r="U1049" t="s">
        <v>2650</v>
      </c>
      <c r="V1049" t="s">
        <v>2650</v>
      </c>
      <c r="W1049" t="s">
        <v>3698</v>
      </c>
      <c r="X1049">
        <v>3</v>
      </c>
      <c r="Y1049" t="s">
        <v>5008</v>
      </c>
      <c r="Z1049" t="s">
        <v>6329</v>
      </c>
      <c r="AA1049">
        <v>0.94280193217004316</v>
      </c>
      <c r="AB1049" t="str">
        <f>HYPERLINK("Melting_Curves/meltCurve_Q8WWX9_SELENOM.pdf", "Melting_Curves/meltCurve_Q8WWX9_SELENOM.pdf")</f>
        <v>Melting_Curves/meltCurve_Q8WWX9_SELENOM.pdf</v>
      </c>
    </row>
    <row r="1050" spans="1:28" x14ac:dyDescent="0.25">
      <c r="A1050" t="s">
        <v>1054</v>
      </c>
      <c r="B1050">
        <v>1</v>
      </c>
      <c r="C1050">
        <v>0.70854449788566498</v>
      </c>
      <c r="D1050">
        <v>1.1135285193195401</v>
      </c>
      <c r="E1050">
        <v>1.21479066464379</v>
      </c>
      <c r="F1050">
        <v>0.93682817392427098</v>
      </c>
      <c r="G1050">
        <v>1.0478388585816201</v>
      </c>
      <c r="H1050">
        <v>0.96736498918622305</v>
      </c>
      <c r="I1050">
        <v>1.0416733916524099</v>
      </c>
      <c r="J1050">
        <v>0.60886406920817304</v>
      </c>
      <c r="K1050">
        <v>0.81965202233771295</v>
      </c>
      <c r="L1050">
        <v>15000</v>
      </c>
      <c r="M1050">
        <v>229.57324892397301</v>
      </c>
      <c r="O1050">
        <v>65.333678256694299</v>
      </c>
      <c r="P1050">
        <v>-0.251121799501687</v>
      </c>
      <c r="Q1050">
        <v>0.71413555291626596</v>
      </c>
      <c r="R1050">
        <v>0.43205063494393797</v>
      </c>
      <c r="S1050" t="s">
        <v>2376</v>
      </c>
      <c r="T1050" t="s">
        <v>2650</v>
      </c>
      <c r="U1050" t="s">
        <v>2650</v>
      </c>
      <c r="V1050" t="s">
        <v>2650</v>
      </c>
      <c r="W1050" t="s">
        <v>3699</v>
      </c>
      <c r="X1050">
        <v>1</v>
      </c>
      <c r="Y1050" t="s">
        <v>5009</v>
      </c>
      <c r="Z1050" t="s">
        <v>6330</v>
      </c>
      <c r="AA1050">
        <v>0.95562147617103022</v>
      </c>
      <c r="AB1050" t="str">
        <f>HYPERLINK("Melting_Curves/meltCurve_Q8WWY7_WFDC12.pdf", "Melting_Curves/meltCurve_Q8WWY7_WFDC12.pdf")</f>
        <v>Melting_Curves/meltCurve_Q8WWY7_WFDC12.pdf</v>
      </c>
    </row>
    <row r="1051" spans="1:28" x14ac:dyDescent="0.25">
      <c r="A1051" t="s">
        <v>1055</v>
      </c>
      <c r="B1051">
        <v>1</v>
      </c>
      <c r="C1051">
        <v>0.66896641925252598</v>
      </c>
      <c r="D1051">
        <v>1.00634339338848</v>
      </c>
      <c r="E1051">
        <v>1.08681293529085</v>
      </c>
      <c r="F1051">
        <v>0.919301572769185</v>
      </c>
      <c r="G1051">
        <v>1.07939051106824</v>
      </c>
      <c r="H1051">
        <v>0.95373246574894599</v>
      </c>
      <c r="I1051">
        <v>1.1581270640551899</v>
      </c>
      <c r="J1051">
        <v>0.80989438576987205</v>
      </c>
      <c r="K1051">
        <v>1.0189974822613901</v>
      </c>
      <c r="S1051" t="s">
        <v>2377</v>
      </c>
      <c r="T1051" t="s">
        <v>2650</v>
      </c>
      <c r="U1051" t="s">
        <v>2651</v>
      </c>
      <c r="V1051" t="s">
        <v>2650</v>
      </c>
      <c r="W1051" t="s">
        <v>3700</v>
      </c>
      <c r="X1051">
        <v>1</v>
      </c>
      <c r="Y1051" t="s">
        <v>5010</v>
      </c>
      <c r="Z1051" t="s">
        <v>6331</v>
      </c>
      <c r="AB1051" t="str">
        <f>HYPERLINK("Melting_Curves/meltCurve_Q8WX77_IGFBPL1.pdf", "Melting_Curves/meltCurve_Q8WX77_IGFBPL1.pdf")</f>
        <v>Melting_Curves/meltCurve_Q8WX77_IGFBPL1.pdf</v>
      </c>
    </row>
    <row r="1052" spans="1:28" x14ac:dyDescent="0.25">
      <c r="A1052" t="s">
        <v>1056</v>
      </c>
      <c r="B1052">
        <v>1</v>
      </c>
      <c r="C1052">
        <v>0.79270180611868801</v>
      </c>
      <c r="D1052">
        <v>1.32593684727854</v>
      </c>
      <c r="E1052">
        <v>1.65261088585821</v>
      </c>
      <c r="F1052">
        <v>1.3081951099643701</v>
      </c>
      <c r="G1052">
        <v>1.45381496498341</v>
      </c>
      <c r="H1052">
        <v>1.41904410861285</v>
      </c>
      <c r="I1052">
        <v>1.7677847401400699</v>
      </c>
      <c r="J1052">
        <v>1.1038456812876301</v>
      </c>
      <c r="K1052">
        <v>1.5706843592578901</v>
      </c>
      <c r="L1052">
        <v>11461.799215904501</v>
      </c>
      <c r="M1052">
        <v>250</v>
      </c>
      <c r="O1052">
        <v>45.8442763428449</v>
      </c>
      <c r="P1052">
        <v>0.63802574992083705</v>
      </c>
      <c r="Q1052">
        <v>1.4679971240174801</v>
      </c>
      <c r="R1052">
        <v>0.59017108359675596</v>
      </c>
      <c r="S1052" t="s">
        <v>2378</v>
      </c>
      <c r="T1052" t="s">
        <v>2650</v>
      </c>
      <c r="U1052" t="s">
        <v>2650</v>
      </c>
      <c r="V1052" t="s">
        <v>2650</v>
      </c>
      <c r="W1052" t="s">
        <v>3701</v>
      </c>
      <c r="X1052">
        <v>5</v>
      </c>
      <c r="Y1052" t="s">
        <v>5011</v>
      </c>
      <c r="Z1052" t="s">
        <v>6332</v>
      </c>
      <c r="AA1052">
        <v>1.376743757921574</v>
      </c>
      <c r="AB1052" t="str">
        <f>HYPERLINK("Melting_Curves/meltCurve_Q8WXA2_PATE1.pdf", "Melting_Curves/meltCurve_Q8WXA2_PATE1.pdf")</f>
        <v>Melting_Curves/meltCurve_Q8WXA2_PATE1.pdf</v>
      </c>
    </row>
    <row r="1053" spans="1:28" x14ac:dyDescent="0.25">
      <c r="A1053" t="s">
        <v>1057</v>
      </c>
      <c r="B1053">
        <v>1</v>
      </c>
      <c r="C1053">
        <v>0.99121980123353703</v>
      </c>
      <c r="D1053">
        <v>2.2933555980500402</v>
      </c>
      <c r="E1053">
        <v>3.5251420722346398</v>
      </c>
      <c r="F1053">
        <v>2.4930647202995</v>
      </c>
      <c r="G1053">
        <v>1.8948800129279</v>
      </c>
      <c r="H1053">
        <v>2.8821137116539601</v>
      </c>
      <c r="I1053">
        <v>5.1356082846292699</v>
      </c>
      <c r="J1053">
        <v>1.2484715451533801</v>
      </c>
      <c r="K1053">
        <v>2.9855369118478801</v>
      </c>
      <c r="L1053">
        <v>11002.200373897</v>
      </c>
      <c r="M1053">
        <v>250</v>
      </c>
      <c r="O1053">
        <v>44.005983992438303</v>
      </c>
      <c r="P1053">
        <v>0.71013067602129198</v>
      </c>
      <c r="Q1053">
        <v>1.5</v>
      </c>
      <c r="R1053">
        <v>-0.56700994123002402</v>
      </c>
      <c r="S1053" t="s">
        <v>2379</v>
      </c>
      <c r="T1053" t="s">
        <v>2650</v>
      </c>
      <c r="U1053" t="s">
        <v>2650</v>
      </c>
      <c r="V1053" t="s">
        <v>2650</v>
      </c>
      <c r="W1053" t="s">
        <v>3702</v>
      </c>
      <c r="X1053">
        <v>1</v>
      </c>
      <c r="Y1053" t="s">
        <v>5012</v>
      </c>
      <c r="Z1053" t="s">
        <v>6333</v>
      </c>
      <c r="AA1053">
        <v>1.43314802435932</v>
      </c>
      <c r="AB1053" t="str">
        <f>HYPERLINK("Melting_Curves/meltCurve_Q8WXH0_7_SYNE2.pdf", "Melting_Curves/meltCurve_Q8WXH0_7_SYNE2.pdf")</f>
        <v>Melting_Curves/meltCurve_Q8WXH0_7_SYNE2.pdf</v>
      </c>
    </row>
    <row r="1054" spans="1:28" x14ac:dyDescent="0.25">
      <c r="A1054" t="s">
        <v>1058</v>
      </c>
      <c r="B1054">
        <v>1</v>
      </c>
      <c r="C1054">
        <v>0.65876335188807</v>
      </c>
      <c r="D1054">
        <v>1.21137355197834</v>
      </c>
      <c r="E1054">
        <v>1.49180081239657</v>
      </c>
      <c r="F1054">
        <v>1.16661651873025</v>
      </c>
      <c r="G1054">
        <v>0.86166691740634904</v>
      </c>
      <c r="H1054">
        <v>0.99232736572890001</v>
      </c>
      <c r="I1054">
        <v>1.2762900556642101</v>
      </c>
      <c r="J1054">
        <v>0.56530013539942803</v>
      </c>
      <c r="K1054">
        <v>0.95268542199488504</v>
      </c>
      <c r="L1054">
        <v>15000</v>
      </c>
      <c r="M1054">
        <v>228.951482863248</v>
      </c>
      <c r="O1054">
        <v>65.511069401134094</v>
      </c>
      <c r="P1054">
        <v>-0.21016135030941999</v>
      </c>
      <c r="Q1054">
        <v>0.75946180874718505</v>
      </c>
      <c r="R1054">
        <v>0.15660518626690501</v>
      </c>
      <c r="S1054" t="s">
        <v>2380</v>
      </c>
      <c r="T1054" t="s">
        <v>2650</v>
      </c>
      <c r="U1054" t="s">
        <v>2650</v>
      </c>
      <c r="V1054" t="s">
        <v>2650</v>
      </c>
      <c r="W1054" t="s">
        <v>3703</v>
      </c>
      <c r="X1054">
        <v>1</v>
      </c>
      <c r="Y1054" t="s">
        <v>5013</v>
      </c>
      <c r="Z1054" t="s">
        <v>6334</v>
      </c>
      <c r="AA1054">
        <v>0.96408104764074853</v>
      </c>
      <c r="AB1054" t="str">
        <f>HYPERLINK("Melting_Curves/meltCurve_Q8WZ42_6_TTN.pdf", "Melting_Curves/meltCurve_Q8WZ42_6_TTN.pdf")</f>
        <v>Melting_Curves/meltCurve_Q8WZ42_6_TTN.pdf</v>
      </c>
    </row>
    <row r="1055" spans="1:28" x14ac:dyDescent="0.25">
      <c r="A1055" t="s">
        <v>1059</v>
      </c>
      <c r="B1055">
        <v>1</v>
      </c>
      <c r="C1055">
        <v>0.70938712947168003</v>
      </c>
      <c r="D1055">
        <v>0.99807164577616303</v>
      </c>
      <c r="E1055">
        <v>1.1995599396771199</v>
      </c>
      <c r="F1055">
        <v>0.97567306979158896</v>
      </c>
      <c r="G1055">
        <v>0.975945017182131</v>
      </c>
      <c r="H1055">
        <v>0.89263022571633399</v>
      </c>
      <c r="I1055">
        <v>1.02909837078791</v>
      </c>
      <c r="J1055">
        <v>0.656209053375856</v>
      </c>
      <c r="K1055">
        <v>0.900516700042028</v>
      </c>
      <c r="L1055">
        <v>15000</v>
      </c>
      <c r="M1055">
        <v>229.81731385397299</v>
      </c>
      <c r="O1055">
        <v>65.264291338423305</v>
      </c>
      <c r="P1055">
        <v>-0.19508572705833099</v>
      </c>
      <c r="Q1055">
        <v>0.77839560497656601</v>
      </c>
      <c r="R1055">
        <v>0.24335851049677601</v>
      </c>
      <c r="S1055" t="s">
        <v>2381</v>
      </c>
      <c r="T1055" t="s">
        <v>2650</v>
      </c>
      <c r="U1055" t="s">
        <v>2650</v>
      </c>
      <c r="V1055" t="s">
        <v>2650</v>
      </c>
      <c r="W1055" t="s">
        <v>3704</v>
      </c>
      <c r="X1055">
        <v>3</v>
      </c>
      <c r="Y1055" t="s">
        <v>5014</v>
      </c>
      <c r="Z1055" t="s">
        <v>6335</v>
      </c>
      <c r="AA1055">
        <v>0.96508475332271815</v>
      </c>
      <c r="AB1055" t="str">
        <f>HYPERLINK("Melting_Curves/meltCurve_Q8WZA0_LZIC.pdf", "Melting_Curves/meltCurve_Q8WZA0_LZIC.pdf")</f>
        <v>Melting_Curves/meltCurve_Q8WZA0_LZIC.pdf</v>
      </c>
    </row>
    <row r="1056" spans="1:28" x14ac:dyDescent="0.25">
      <c r="A1056" t="s">
        <v>1060</v>
      </c>
      <c r="B1056">
        <v>1</v>
      </c>
      <c r="C1056">
        <v>0.68924318788779304</v>
      </c>
      <c r="D1056">
        <v>1.16228589787354</v>
      </c>
      <c r="E1056">
        <v>1.5262544928816699</v>
      </c>
      <c r="F1056">
        <v>1.06604285054517</v>
      </c>
      <c r="G1056">
        <v>1.0447982972229499</v>
      </c>
      <c r="H1056">
        <v>1.3651332302564201</v>
      </c>
      <c r="I1056">
        <v>1.7030782514407301</v>
      </c>
      <c r="J1056">
        <v>0.85183028453243903</v>
      </c>
      <c r="K1056">
        <v>1.47418726531596</v>
      </c>
      <c r="L1056">
        <v>11489.048117075299</v>
      </c>
      <c r="M1056">
        <v>250</v>
      </c>
      <c r="O1056">
        <v>45.9532518878312</v>
      </c>
      <c r="P1056">
        <v>0.39467996084187601</v>
      </c>
      <c r="Q1056">
        <v>1.29018924018629</v>
      </c>
      <c r="R1056">
        <v>0.28212521916132899</v>
      </c>
      <c r="S1056" t="s">
        <v>2382</v>
      </c>
      <c r="T1056" t="s">
        <v>2650</v>
      </c>
      <c r="U1056" t="s">
        <v>2650</v>
      </c>
      <c r="V1056" t="s">
        <v>2650</v>
      </c>
      <c r="W1056" t="s">
        <v>3705</v>
      </c>
      <c r="X1056">
        <v>1</v>
      </c>
      <c r="Y1056" t="s">
        <v>5015</v>
      </c>
      <c r="Z1056" t="s">
        <v>6336</v>
      </c>
      <c r="AA1056">
        <v>1.232551736834222</v>
      </c>
      <c r="AB1056" t="str">
        <f>HYPERLINK("Melting_Curves/meltCurve_Q8WZA9_IRGQ.pdf", "Melting_Curves/meltCurve_Q8WZA9_IRGQ.pdf")</f>
        <v>Melting_Curves/meltCurve_Q8WZA9_IRGQ.pdf</v>
      </c>
    </row>
    <row r="1057" spans="1:28" x14ac:dyDescent="0.25">
      <c r="A1057" t="s">
        <v>1061</v>
      </c>
      <c r="B1057">
        <v>1</v>
      </c>
      <c r="C1057">
        <v>0.773142142598371</v>
      </c>
      <c r="D1057">
        <v>1.42236090172843</v>
      </c>
      <c r="E1057">
        <v>1.81455901085674</v>
      </c>
      <c r="F1057">
        <v>1.4999590973366499</v>
      </c>
      <c r="G1057">
        <v>1.71393845902137</v>
      </c>
      <c r="H1057">
        <v>1.65854456637334</v>
      </c>
      <c r="I1057">
        <v>2.0391730650118598</v>
      </c>
      <c r="J1057">
        <v>1.23818205191132</v>
      </c>
      <c r="K1057">
        <v>1.8352440720354299</v>
      </c>
      <c r="L1057">
        <v>11422.085818338301</v>
      </c>
      <c r="M1057">
        <v>250</v>
      </c>
      <c r="O1057">
        <v>45.685419560937298</v>
      </c>
      <c r="P1057">
        <v>0.68402567741088105</v>
      </c>
      <c r="Q1057">
        <v>1.5</v>
      </c>
      <c r="R1057">
        <v>0.51399889076344796</v>
      </c>
      <c r="S1057" t="s">
        <v>2383</v>
      </c>
      <c r="T1057" t="s">
        <v>2650</v>
      </c>
      <c r="U1057" t="s">
        <v>2650</v>
      </c>
      <c r="V1057" t="s">
        <v>2650</v>
      </c>
      <c r="W1057" t="s">
        <v>3706</v>
      </c>
      <c r="X1057">
        <v>4</v>
      </c>
      <c r="Y1057" t="s">
        <v>5016</v>
      </c>
      <c r="Z1057" t="s">
        <v>6337</v>
      </c>
      <c r="AA1057">
        <v>1.4051541876117579</v>
      </c>
      <c r="AB1057" t="str">
        <f>HYPERLINK("Melting_Curves/meltCurve_Q92484_2_SMPDL3A.pdf", "Melting_Curves/meltCurve_Q92484_2_SMPDL3A.pdf")</f>
        <v>Melting_Curves/meltCurve_Q92484_2_SMPDL3A.pdf</v>
      </c>
    </row>
    <row r="1058" spans="1:28" x14ac:dyDescent="0.25">
      <c r="A1058" t="s">
        <v>1062</v>
      </c>
      <c r="B1058">
        <v>1</v>
      </c>
      <c r="C1058">
        <v>0.96488544310398805</v>
      </c>
      <c r="D1058">
        <v>1.43941869763237</v>
      </c>
      <c r="E1058">
        <v>1.94479018183082</v>
      </c>
      <c r="F1058">
        <v>1.74199492403435</v>
      </c>
      <c r="G1058">
        <v>1.8896498974376801</v>
      </c>
      <c r="H1058">
        <v>1.9936028926050799</v>
      </c>
      <c r="I1058">
        <v>2.6825087786392201</v>
      </c>
      <c r="J1058">
        <v>1.8937176233355399</v>
      </c>
      <c r="K1058">
        <v>2.41855856482286</v>
      </c>
      <c r="L1058">
        <v>11408.8525804004</v>
      </c>
      <c r="M1058">
        <v>250</v>
      </c>
      <c r="O1058">
        <v>45.632514888912098</v>
      </c>
      <c r="P1058">
        <v>0.68481908218698295</v>
      </c>
      <c r="Q1058">
        <v>1.5</v>
      </c>
      <c r="R1058">
        <v>-0.12661075073883901</v>
      </c>
      <c r="S1058" t="s">
        <v>2384</v>
      </c>
      <c r="T1058" t="s">
        <v>2650</v>
      </c>
      <c r="U1058" t="s">
        <v>2650</v>
      </c>
      <c r="V1058" t="s">
        <v>2650</v>
      </c>
      <c r="W1058" t="s">
        <v>3707</v>
      </c>
      <c r="X1058">
        <v>2</v>
      </c>
      <c r="Y1058" t="s">
        <v>5017</v>
      </c>
      <c r="Z1058" t="s">
        <v>6338</v>
      </c>
      <c r="AA1058">
        <v>1.406036449922538</v>
      </c>
      <c r="AB1058" t="str">
        <f>HYPERLINK("Melting_Curves/meltCurve_Q92485_2_SMPDL3B.pdf", "Melting_Curves/meltCurve_Q92485_2_SMPDL3B.pdf")</f>
        <v>Melting_Curves/meltCurve_Q92485_2_SMPDL3B.pdf</v>
      </c>
    </row>
    <row r="1059" spans="1:28" x14ac:dyDescent="0.25">
      <c r="A1059" t="s">
        <v>1063</v>
      </c>
      <c r="B1059">
        <v>1</v>
      </c>
      <c r="C1059">
        <v>0.75171366793945804</v>
      </c>
      <c r="D1059">
        <v>1.1071905046694599</v>
      </c>
      <c r="E1059">
        <v>1.3081381975433599</v>
      </c>
      <c r="F1059">
        <v>1.0898008004784501</v>
      </c>
      <c r="G1059">
        <v>1.24442195335143</v>
      </c>
      <c r="H1059">
        <v>1.24511202097806</v>
      </c>
      <c r="I1059">
        <v>1.5069696830289401</v>
      </c>
      <c r="J1059">
        <v>0.926024750425542</v>
      </c>
      <c r="K1059">
        <v>1.2601554952385301</v>
      </c>
      <c r="L1059">
        <v>11504.6578079665</v>
      </c>
      <c r="M1059">
        <v>250</v>
      </c>
      <c r="O1059">
        <v>46.015686178005701</v>
      </c>
      <c r="P1059">
        <v>0.30669333968775497</v>
      </c>
      <c r="Q1059">
        <v>1.2258032721046701</v>
      </c>
      <c r="R1059">
        <v>0.38474226906761599</v>
      </c>
      <c r="S1059" t="s">
        <v>2385</v>
      </c>
      <c r="T1059" t="s">
        <v>2650</v>
      </c>
      <c r="U1059" t="s">
        <v>2650</v>
      </c>
      <c r="V1059" t="s">
        <v>2650</v>
      </c>
      <c r="W1059" t="s">
        <v>3708</v>
      </c>
      <c r="X1059">
        <v>6</v>
      </c>
      <c r="Y1059" t="s">
        <v>5018</v>
      </c>
      <c r="Z1059" t="s">
        <v>6339</v>
      </c>
      <c r="AA1059">
        <v>1.1804841482600721</v>
      </c>
      <c r="AB1059" t="str">
        <f>HYPERLINK("Melting_Curves/meltCurve_Q92520_FAM3C.pdf", "Melting_Curves/meltCurve_Q92520_FAM3C.pdf")</f>
        <v>Melting_Curves/meltCurve_Q92520_FAM3C.pdf</v>
      </c>
    </row>
    <row r="1060" spans="1:28" x14ac:dyDescent="0.25">
      <c r="A1060" t="s">
        <v>1064</v>
      </c>
      <c r="B1060">
        <v>1</v>
      </c>
      <c r="C1060">
        <v>0.89825566393146505</v>
      </c>
      <c r="D1060">
        <v>1.0725989575269601</v>
      </c>
      <c r="E1060">
        <v>1.4536563967590399</v>
      </c>
      <c r="F1060">
        <v>1.11993600660577</v>
      </c>
      <c r="G1060">
        <v>1.2372013211539501</v>
      </c>
      <c r="H1060">
        <v>1.26651442431749</v>
      </c>
      <c r="I1060">
        <v>1.3259276461784599</v>
      </c>
      <c r="J1060">
        <v>0.97943438096712598</v>
      </c>
      <c r="K1060">
        <v>1.3583114001135399</v>
      </c>
      <c r="L1060">
        <v>11540.7639819044</v>
      </c>
      <c r="M1060">
        <v>250</v>
      </c>
      <c r="O1060">
        <v>46.160102219540299</v>
      </c>
      <c r="P1060">
        <v>0.33675138822699002</v>
      </c>
      <c r="Q1060">
        <v>1.2487116534888401</v>
      </c>
      <c r="R1060">
        <v>0.476013570234392</v>
      </c>
      <c r="S1060" t="s">
        <v>2386</v>
      </c>
      <c r="T1060" t="s">
        <v>2650</v>
      </c>
      <c r="U1060" t="s">
        <v>2650</v>
      </c>
      <c r="V1060" t="s">
        <v>2650</v>
      </c>
      <c r="W1060" t="s">
        <v>3709</v>
      </c>
      <c r="X1060">
        <v>1</v>
      </c>
      <c r="Y1060" t="s">
        <v>5019</v>
      </c>
      <c r="Z1060" t="s">
        <v>6340</v>
      </c>
      <c r="AA1060">
        <v>1.197597376326899</v>
      </c>
      <c r="AB1060" t="str">
        <f>HYPERLINK("Melting_Curves/meltCurve_Q92542_2_NCSTN.pdf", "Melting_Curves/meltCurve_Q92542_2_NCSTN.pdf")</f>
        <v>Melting_Curves/meltCurve_Q92542_2_NCSTN.pdf</v>
      </c>
    </row>
    <row r="1061" spans="1:28" x14ac:dyDescent="0.25">
      <c r="A1061" t="s">
        <v>1065</v>
      </c>
      <c r="B1061">
        <v>1</v>
      </c>
      <c r="C1061">
        <v>0.70379300205821804</v>
      </c>
      <c r="D1061">
        <v>0.95505243555816899</v>
      </c>
      <c r="E1061">
        <v>0.95338625894344797</v>
      </c>
      <c r="F1061">
        <v>0.81382926590218596</v>
      </c>
      <c r="G1061">
        <v>0.75309222777614404</v>
      </c>
      <c r="H1061">
        <v>0.69390375379790303</v>
      </c>
      <c r="I1061">
        <v>0.59809859845143598</v>
      </c>
      <c r="J1061">
        <v>0.56760756640203902</v>
      </c>
      <c r="K1061">
        <v>0.68526903851808296</v>
      </c>
      <c r="L1061">
        <v>230.48901033452</v>
      </c>
      <c r="M1061">
        <v>3.0665193182578201</v>
      </c>
      <c r="O1061">
        <v>55.874826774633398</v>
      </c>
      <c r="P1061">
        <v>-1.2777175571819699E-2</v>
      </c>
      <c r="Q1061">
        <v>9.4989826894342405E-2</v>
      </c>
      <c r="R1061">
        <v>0.60697962543667405</v>
      </c>
      <c r="S1061" t="s">
        <v>2387</v>
      </c>
      <c r="T1061" t="s">
        <v>2650</v>
      </c>
      <c r="U1061" t="s">
        <v>2650</v>
      </c>
      <c r="V1061" t="s">
        <v>2650</v>
      </c>
      <c r="W1061" t="s">
        <v>3710</v>
      </c>
      <c r="X1061">
        <v>1</v>
      </c>
      <c r="Y1061" t="s">
        <v>5020</v>
      </c>
      <c r="Z1061" t="s">
        <v>6341</v>
      </c>
      <c r="AA1061">
        <v>0.776045635934006</v>
      </c>
      <c r="AB1061" t="str">
        <f>HYPERLINK("Melting_Curves/meltCurve_Q92552_MRPS27.pdf", "Melting_Curves/meltCurve_Q92552_MRPS27.pdf")</f>
        <v>Melting_Curves/meltCurve_Q92552_MRPS27.pdf</v>
      </c>
    </row>
    <row r="1062" spans="1:28" x14ac:dyDescent="0.25">
      <c r="A1062" t="s">
        <v>1066</v>
      </c>
      <c r="B1062">
        <v>1</v>
      </c>
      <c r="C1062">
        <v>0.86176442955122001</v>
      </c>
      <c r="D1062">
        <v>1.17869781716827</v>
      </c>
      <c r="E1062">
        <v>1.33324981992421</v>
      </c>
      <c r="F1062">
        <v>1.1601891578716601</v>
      </c>
      <c r="G1062">
        <v>1.4114183708621699</v>
      </c>
      <c r="H1062">
        <v>1.22053803513827</v>
      </c>
      <c r="I1062">
        <v>1.31032538912029</v>
      </c>
      <c r="J1062">
        <v>0.93332498199242098</v>
      </c>
      <c r="K1062">
        <v>1.2926936206194599</v>
      </c>
      <c r="L1062">
        <v>11448.7851663605</v>
      </c>
      <c r="M1062">
        <v>250</v>
      </c>
      <c r="O1062">
        <v>45.792209865610801</v>
      </c>
      <c r="P1062">
        <v>0.32400617691191802</v>
      </c>
      <c r="Q1062">
        <v>1.23739134244872</v>
      </c>
      <c r="R1062">
        <v>0.45204677990375403</v>
      </c>
      <c r="S1062" t="s">
        <v>2388</v>
      </c>
      <c r="T1062" t="s">
        <v>2650</v>
      </c>
      <c r="U1062" t="s">
        <v>2650</v>
      </c>
      <c r="V1062" t="s">
        <v>2650</v>
      </c>
      <c r="W1062" t="s">
        <v>3711</v>
      </c>
      <c r="X1062">
        <v>1</v>
      </c>
      <c r="Y1062" t="s">
        <v>5021</v>
      </c>
      <c r="Z1062" t="s">
        <v>6342</v>
      </c>
      <c r="AA1062">
        <v>1.1915150559554231</v>
      </c>
      <c r="AB1062" t="str">
        <f>HYPERLINK("Melting_Curves/meltCurve_Q92597_3_NDRG1.pdf", "Melting_Curves/meltCurve_Q92597_3_NDRG1.pdf")</f>
        <v>Melting_Curves/meltCurve_Q92597_3_NDRG1.pdf</v>
      </c>
    </row>
    <row r="1063" spans="1:28" x14ac:dyDescent="0.25">
      <c r="A1063" t="s">
        <v>1067</v>
      </c>
      <c r="B1063">
        <v>1</v>
      </c>
      <c r="C1063">
        <v>0.61815327012500798</v>
      </c>
      <c r="D1063">
        <v>1.0079714958632799</v>
      </c>
      <c r="E1063">
        <v>1.1207802403526801</v>
      </c>
      <c r="F1063">
        <v>0.90246995591521195</v>
      </c>
      <c r="G1063">
        <v>0.97191859411800197</v>
      </c>
      <c r="H1063">
        <v>0.83887915936952695</v>
      </c>
      <c r="I1063">
        <v>1.0808019807959399</v>
      </c>
      <c r="J1063">
        <v>0.60704148801256097</v>
      </c>
      <c r="K1063">
        <v>0.90603297300561603</v>
      </c>
      <c r="L1063">
        <v>107.64482398401501</v>
      </c>
      <c r="M1063">
        <v>1.0000000000000001E-5</v>
      </c>
      <c r="O1063">
        <v>44.8639674978673</v>
      </c>
      <c r="P1063">
        <v>-3.0730312548533298E-3</v>
      </c>
      <c r="Q1063">
        <v>0.246877433524921</v>
      </c>
      <c r="R1063">
        <v>1.3020045418413E-2</v>
      </c>
      <c r="S1063" t="s">
        <v>2389</v>
      </c>
      <c r="T1063" t="s">
        <v>2650</v>
      </c>
      <c r="U1063" t="s">
        <v>2650</v>
      </c>
      <c r="V1063" t="s">
        <v>2650</v>
      </c>
      <c r="W1063" t="s">
        <v>3712</v>
      </c>
      <c r="X1063">
        <v>2</v>
      </c>
      <c r="Y1063" t="s">
        <v>5022</v>
      </c>
      <c r="Z1063" t="s">
        <v>6343</v>
      </c>
      <c r="AA1063">
        <v>0.90774324778469584</v>
      </c>
      <c r="AB1063" t="str">
        <f>HYPERLINK("Melting_Curves/meltCurve_Q92598_2_HSPH1.pdf", "Melting_Curves/meltCurve_Q92598_2_HSPH1.pdf")</f>
        <v>Melting_Curves/meltCurve_Q92598_2_HSPH1.pdf</v>
      </c>
    </row>
    <row r="1064" spans="1:28" x14ac:dyDescent="0.25">
      <c r="A1064" t="s">
        <v>1068</v>
      </c>
      <c r="B1064">
        <v>1</v>
      </c>
      <c r="C1064">
        <v>0.81198515114017999</v>
      </c>
      <c r="D1064">
        <v>1.0937069117906999</v>
      </c>
      <c r="E1064">
        <v>1.3122149549230999</v>
      </c>
      <c r="F1064">
        <v>1.04829414884214</v>
      </c>
      <c r="G1064">
        <v>1.0331624535973101</v>
      </c>
      <c r="H1064">
        <v>1.0317305992575601</v>
      </c>
      <c r="I1064">
        <v>1.19367155736256</v>
      </c>
      <c r="J1064">
        <v>0.79335336750928098</v>
      </c>
      <c r="K1064">
        <v>1.07473926109245</v>
      </c>
      <c r="L1064">
        <v>11149.1627980497</v>
      </c>
      <c r="M1064">
        <v>250</v>
      </c>
      <c r="O1064">
        <v>44.593797321020098</v>
      </c>
      <c r="P1064">
        <v>0.101791330791995</v>
      </c>
      <c r="Q1064">
        <v>1.07262819147442</v>
      </c>
      <c r="R1064">
        <v>0.12356127862357</v>
      </c>
      <c r="S1064" t="s">
        <v>2390</v>
      </c>
      <c r="T1064" t="s">
        <v>2650</v>
      </c>
      <c r="U1064" t="s">
        <v>2650</v>
      </c>
      <c r="V1064" t="s">
        <v>2650</v>
      </c>
      <c r="W1064" t="s">
        <v>3713</v>
      </c>
      <c r="X1064">
        <v>4</v>
      </c>
      <c r="Y1064" t="s">
        <v>5023</v>
      </c>
      <c r="Z1064" t="s">
        <v>6344</v>
      </c>
      <c r="AA1064">
        <v>1.061494291694308</v>
      </c>
      <c r="AB1064" t="str">
        <f>HYPERLINK("Melting_Curves/meltCurve_Q92626_2_PXDN.pdf", "Melting_Curves/meltCurve_Q92626_2_PXDN.pdf")</f>
        <v>Melting_Curves/meltCurve_Q92626_2_PXDN.pdf</v>
      </c>
    </row>
    <row r="1065" spans="1:28" x14ac:dyDescent="0.25">
      <c r="A1065" t="s">
        <v>1069</v>
      </c>
      <c r="B1065">
        <v>1</v>
      </c>
      <c r="C1065">
        <v>0.824463339106702</v>
      </c>
      <c r="D1065">
        <v>1.1733847688028101</v>
      </c>
      <c r="E1065">
        <v>1.4189104078097901</v>
      </c>
      <c r="F1065">
        <v>1.29525534036635</v>
      </c>
      <c r="G1065">
        <v>1.31102713483441</v>
      </c>
      <c r="H1065">
        <v>1.2389912349761201</v>
      </c>
      <c r="I1065">
        <v>1.50934236078308</v>
      </c>
      <c r="J1065">
        <v>0.90284994489056802</v>
      </c>
      <c r="K1065">
        <v>1.3240959428961301</v>
      </c>
      <c r="L1065">
        <v>11480.0601162741</v>
      </c>
      <c r="M1065">
        <v>250</v>
      </c>
      <c r="O1065">
        <v>45.917302499206599</v>
      </c>
      <c r="P1065">
        <v>0.38898976592983098</v>
      </c>
      <c r="Q1065">
        <v>1.2857817677971699</v>
      </c>
      <c r="R1065">
        <v>0.44788964491211802</v>
      </c>
      <c r="S1065" t="s">
        <v>2391</v>
      </c>
      <c r="T1065" t="s">
        <v>2650</v>
      </c>
      <c r="U1065" t="s">
        <v>2650</v>
      </c>
      <c r="V1065" t="s">
        <v>2650</v>
      </c>
      <c r="W1065" t="s">
        <v>3714</v>
      </c>
      <c r="X1065">
        <v>4</v>
      </c>
      <c r="Y1065" t="s">
        <v>5024</v>
      </c>
      <c r="Z1065" t="s">
        <v>6345</v>
      </c>
      <c r="AA1065">
        <v>1.2293621773124619</v>
      </c>
      <c r="AB1065" t="str">
        <f>HYPERLINK("Melting_Curves/meltCurve_Q92673_SORL1.pdf", "Melting_Curves/meltCurve_Q92673_SORL1.pdf")</f>
        <v>Melting_Curves/meltCurve_Q92673_SORL1.pdf</v>
      </c>
    </row>
    <row r="1066" spans="1:28" x14ac:dyDescent="0.25">
      <c r="A1066" t="s">
        <v>1070</v>
      </c>
      <c r="B1066">
        <v>1</v>
      </c>
      <c r="C1066">
        <v>0.80105506188085596</v>
      </c>
      <c r="D1066">
        <v>1.26840989019839</v>
      </c>
      <c r="E1066">
        <v>1.79937716448764</v>
      </c>
      <c r="F1066">
        <v>1.59453945072351</v>
      </c>
      <c r="G1066">
        <v>1.77534967381675</v>
      </c>
      <c r="H1066">
        <v>1.5638003704797401</v>
      </c>
      <c r="I1066">
        <v>1.84676098687213</v>
      </c>
      <c r="J1066">
        <v>1.1863539960804299</v>
      </c>
      <c r="K1066">
        <v>1.6804477972562999</v>
      </c>
      <c r="L1066">
        <v>11493.212878794</v>
      </c>
      <c r="M1066">
        <v>250</v>
      </c>
      <c r="O1066">
        <v>45.969909594509303</v>
      </c>
      <c r="P1066">
        <v>0.67979250638868904</v>
      </c>
      <c r="Q1066">
        <v>1.5</v>
      </c>
      <c r="R1066">
        <v>0.60846071522331202</v>
      </c>
      <c r="S1066" t="s">
        <v>2392</v>
      </c>
      <c r="T1066" t="s">
        <v>2650</v>
      </c>
      <c r="U1066" t="s">
        <v>2650</v>
      </c>
      <c r="V1066" t="s">
        <v>2650</v>
      </c>
      <c r="W1066" t="s">
        <v>3715</v>
      </c>
      <c r="X1066">
        <v>7</v>
      </c>
      <c r="Y1066" t="s">
        <v>5025</v>
      </c>
      <c r="Z1066" t="s">
        <v>6346</v>
      </c>
      <c r="AA1066">
        <v>1.4004121339276101</v>
      </c>
      <c r="AB1066" t="str">
        <f>HYPERLINK("Melting_Curves/meltCurve_Q92692_2_NECTIN2.pdf", "Melting_Curves/meltCurve_Q92692_2_NECTIN2.pdf")</f>
        <v>Melting_Curves/meltCurve_Q92692_2_NECTIN2.pdf</v>
      </c>
    </row>
    <row r="1067" spans="1:28" x14ac:dyDescent="0.25">
      <c r="A1067" t="s">
        <v>1071</v>
      </c>
      <c r="B1067">
        <v>1</v>
      </c>
      <c r="C1067">
        <v>0.83878095238095196</v>
      </c>
      <c r="D1067">
        <v>1.17304761904762</v>
      </c>
      <c r="E1067">
        <v>1.4305714285714299</v>
      </c>
      <c r="F1067">
        <v>1.2595238095238099</v>
      </c>
      <c r="G1067">
        <v>1.3132380952381</v>
      </c>
      <c r="H1067">
        <v>1.3041904761904799</v>
      </c>
      <c r="I1067">
        <v>1.762</v>
      </c>
      <c r="J1067">
        <v>1.1871428571428599</v>
      </c>
      <c r="K1067">
        <v>1.59352380952381</v>
      </c>
      <c r="L1067">
        <v>11513.904766207599</v>
      </c>
      <c r="M1067">
        <v>250</v>
      </c>
      <c r="O1067">
        <v>46.052671706445103</v>
      </c>
      <c r="P1067">
        <v>0.55258746783909596</v>
      </c>
      <c r="Q1067">
        <v>1.4071700683722901</v>
      </c>
      <c r="R1067">
        <v>0.57292399530927296</v>
      </c>
      <c r="S1067" t="s">
        <v>2393</v>
      </c>
      <c r="T1067" t="s">
        <v>2650</v>
      </c>
      <c r="U1067" t="s">
        <v>2650</v>
      </c>
      <c r="V1067" t="s">
        <v>2650</v>
      </c>
      <c r="W1067" t="s">
        <v>3716</v>
      </c>
      <c r="X1067">
        <v>1</v>
      </c>
      <c r="Y1067" t="s">
        <v>5026</v>
      </c>
      <c r="Z1067" t="s">
        <v>6347</v>
      </c>
      <c r="AA1067">
        <v>1.324948263791274</v>
      </c>
      <c r="AB1067" t="str">
        <f>HYPERLINK("Melting_Curves/meltCurve_Q92729_3_PTPRU.pdf", "Melting_Curves/meltCurve_Q92729_3_PTPRU.pdf")</f>
        <v>Melting_Curves/meltCurve_Q92729_3_PTPRU.pdf</v>
      </c>
    </row>
    <row r="1068" spans="1:28" x14ac:dyDescent="0.25">
      <c r="A1068" t="s">
        <v>1072</v>
      </c>
      <c r="B1068">
        <v>1</v>
      </c>
      <c r="C1068">
        <v>0.85209288566780095</v>
      </c>
      <c r="D1068">
        <v>1.18098900557117</v>
      </c>
      <c r="E1068">
        <v>1.56678006212099</v>
      </c>
      <c r="F1068">
        <v>1.3966868806389601</v>
      </c>
      <c r="G1068">
        <v>1.74175417837598</v>
      </c>
      <c r="H1068">
        <v>1.5608637775476999</v>
      </c>
      <c r="I1068">
        <v>1.88413942710644</v>
      </c>
      <c r="J1068">
        <v>1.3321993787901201</v>
      </c>
      <c r="K1068">
        <v>1.6657792239806699</v>
      </c>
      <c r="L1068">
        <v>11526.072308684101</v>
      </c>
      <c r="M1068">
        <v>250</v>
      </c>
      <c r="O1068">
        <v>46.101338935994903</v>
      </c>
      <c r="P1068">
        <v>0.67785450065651598</v>
      </c>
      <c r="Q1068">
        <v>1.5</v>
      </c>
      <c r="R1068">
        <v>0.69303584136068996</v>
      </c>
      <c r="S1068" t="s">
        <v>2394</v>
      </c>
      <c r="T1068" t="s">
        <v>2650</v>
      </c>
      <c r="U1068" t="s">
        <v>2650</v>
      </c>
      <c r="V1068" t="s">
        <v>2650</v>
      </c>
      <c r="W1068" t="s">
        <v>3717</v>
      </c>
      <c r="X1068">
        <v>5</v>
      </c>
      <c r="Y1068" t="s">
        <v>5027</v>
      </c>
      <c r="Z1068" t="s">
        <v>6348</v>
      </c>
      <c r="AA1068">
        <v>1.3982213899326941</v>
      </c>
      <c r="AB1068" t="str">
        <f>HYPERLINK("Melting_Curves/meltCurve_Q92743_HTRA1.pdf", "Melting_Curves/meltCurve_Q92743_HTRA1.pdf")</f>
        <v>Melting_Curves/meltCurve_Q92743_HTRA1.pdf</v>
      </c>
    </row>
    <row r="1069" spans="1:28" x14ac:dyDescent="0.25">
      <c r="A1069" t="s">
        <v>1073</v>
      </c>
      <c r="B1069">
        <v>1</v>
      </c>
      <c r="C1069">
        <v>0.73323017851514405</v>
      </c>
      <c r="D1069">
        <v>1.2002922719848701</v>
      </c>
      <c r="E1069">
        <v>1.4738531190005399</v>
      </c>
      <c r="F1069">
        <v>1.0970228373305799</v>
      </c>
      <c r="G1069">
        <v>1.11418665291269</v>
      </c>
      <c r="H1069">
        <v>1.18232614115018</v>
      </c>
      <c r="I1069">
        <v>1.4690105733688601</v>
      </c>
      <c r="J1069">
        <v>0.83211553339637201</v>
      </c>
      <c r="K1069">
        <v>1.2633599816613701</v>
      </c>
      <c r="L1069">
        <v>11323.0445361111</v>
      </c>
      <c r="M1069">
        <v>250</v>
      </c>
      <c r="O1069">
        <v>45.289279695961397</v>
      </c>
      <c r="P1069">
        <v>0.28228981768904499</v>
      </c>
      <c r="Q1069">
        <v>1.2045552401220601</v>
      </c>
      <c r="R1069">
        <v>0.28048499432545299</v>
      </c>
      <c r="S1069" t="s">
        <v>2395</v>
      </c>
      <c r="T1069" t="s">
        <v>2650</v>
      </c>
      <c r="U1069" t="s">
        <v>2650</v>
      </c>
      <c r="V1069" t="s">
        <v>2650</v>
      </c>
      <c r="W1069" t="s">
        <v>3718</v>
      </c>
      <c r="X1069">
        <v>1</v>
      </c>
      <c r="Y1069" t="s">
        <v>5028</v>
      </c>
      <c r="Z1069" t="s">
        <v>6349</v>
      </c>
      <c r="AA1069">
        <v>1.1684542215889799</v>
      </c>
      <c r="AB1069" t="str">
        <f>HYPERLINK("Melting_Curves/meltCurve_Q92793_2_CREBBP.pdf", "Melting_Curves/meltCurve_Q92793_2_CREBBP.pdf")</f>
        <v>Melting_Curves/meltCurve_Q92793_2_CREBBP.pdf</v>
      </c>
    </row>
    <row r="1070" spans="1:28" x14ac:dyDescent="0.25">
      <c r="A1070" t="s">
        <v>1074</v>
      </c>
      <c r="B1070">
        <v>1</v>
      </c>
      <c r="C1070">
        <v>0.78677097049028</v>
      </c>
      <c r="D1070">
        <v>1.3610099914801299</v>
      </c>
      <c r="E1070">
        <v>1.8602741848036599</v>
      </c>
      <c r="F1070">
        <v>1.32894431105259</v>
      </c>
      <c r="G1070">
        <v>1.4308728990783099</v>
      </c>
      <c r="H1070">
        <v>1.48160483308806</v>
      </c>
      <c r="I1070">
        <v>1.9120130121601699</v>
      </c>
      <c r="J1070">
        <v>1.09093021454574</v>
      </c>
      <c r="K1070">
        <v>1.68646890248625</v>
      </c>
      <c r="L1070">
        <v>11456.092855209101</v>
      </c>
      <c r="M1070">
        <v>250</v>
      </c>
      <c r="O1070">
        <v>45.821438862153499</v>
      </c>
      <c r="P1070">
        <v>0.68199516956436401</v>
      </c>
      <c r="Q1070">
        <v>1.5</v>
      </c>
      <c r="R1070">
        <v>0.51600020402546498</v>
      </c>
      <c r="S1070" t="s">
        <v>2396</v>
      </c>
      <c r="T1070" t="s">
        <v>2650</v>
      </c>
      <c r="U1070" t="s">
        <v>2650</v>
      </c>
      <c r="V1070" t="s">
        <v>2650</v>
      </c>
      <c r="W1070" t="s">
        <v>3719</v>
      </c>
      <c r="X1070">
        <v>1</v>
      </c>
      <c r="Y1070" t="s">
        <v>5029</v>
      </c>
      <c r="Z1070" t="s">
        <v>6350</v>
      </c>
      <c r="AA1070">
        <v>1.402886932456731</v>
      </c>
      <c r="AB1070" t="str">
        <f>HYPERLINK("Melting_Curves/meltCurve_Q92823_3_NRCAM.pdf", "Melting_Curves/meltCurve_Q92823_3_NRCAM.pdf")</f>
        <v>Melting_Curves/meltCurve_Q92823_3_NRCAM.pdf</v>
      </c>
    </row>
    <row r="1071" spans="1:28" x14ac:dyDescent="0.25">
      <c r="A1071" t="s">
        <v>1075</v>
      </c>
      <c r="B1071">
        <v>1</v>
      </c>
      <c r="C1071">
        <v>0.84799222797927498</v>
      </c>
      <c r="D1071">
        <v>1.1294689119171</v>
      </c>
      <c r="E1071">
        <v>1.58991796200345</v>
      </c>
      <c r="F1071">
        <v>1.0924222797927501</v>
      </c>
      <c r="G1071">
        <v>1.00997409326425</v>
      </c>
      <c r="H1071">
        <v>0.88324697754749604</v>
      </c>
      <c r="I1071">
        <v>1.35934801381693</v>
      </c>
      <c r="J1071">
        <v>0.82830310880828995</v>
      </c>
      <c r="K1071">
        <v>1.16424870466321</v>
      </c>
      <c r="L1071">
        <v>11327.3104039583</v>
      </c>
      <c r="M1071">
        <v>250</v>
      </c>
      <c r="O1071">
        <v>45.306342454761896</v>
      </c>
      <c r="P1071">
        <v>0.18277690011783301</v>
      </c>
      <c r="Q1071">
        <v>1.13249524415307</v>
      </c>
      <c r="R1071">
        <v>0.11240208988077301</v>
      </c>
      <c r="S1071" t="s">
        <v>2397</v>
      </c>
      <c r="T1071" t="s">
        <v>2650</v>
      </c>
      <c r="U1071" t="s">
        <v>2650</v>
      </c>
      <c r="V1071" t="s">
        <v>2650</v>
      </c>
      <c r="W1071" t="s">
        <v>3720</v>
      </c>
      <c r="X1071">
        <v>1</v>
      </c>
      <c r="Y1071" t="s">
        <v>5030</v>
      </c>
      <c r="Z1071" t="s">
        <v>6351</v>
      </c>
      <c r="AA1071">
        <v>1.1090363997216539</v>
      </c>
      <c r="AB1071" t="str">
        <f>HYPERLINK("Melting_Curves/meltCurve_Q92832_2_NELL1.pdf", "Melting_Curves/meltCurve_Q92832_2_NELL1.pdf")</f>
        <v>Melting_Curves/meltCurve_Q92832_2_NELL1.pdf</v>
      </c>
    </row>
    <row r="1072" spans="1:28" x14ac:dyDescent="0.25">
      <c r="A1072" t="s">
        <v>1076</v>
      </c>
      <c r="B1072">
        <v>1</v>
      </c>
      <c r="C1072">
        <v>0.78935738010925405</v>
      </c>
      <c r="D1072">
        <v>1.4495319662905899</v>
      </c>
      <c r="E1072">
        <v>1.5808833621565199</v>
      </c>
      <c r="F1072">
        <v>1.30935518405666</v>
      </c>
      <c r="G1072">
        <v>1.28219275851657</v>
      </c>
      <c r="H1072">
        <v>1.3443822229542399</v>
      </c>
      <c r="I1072">
        <v>1.80556699332949</v>
      </c>
      <c r="J1072">
        <v>0.76934585083312701</v>
      </c>
      <c r="K1072">
        <v>1.19591534217245</v>
      </c>
      <c r="L1072">
        <v>11115.4711170664</v>
      </c>
      <c r="M1072">
        <v>250</v>
      </c>
      <c r="O1072">
        <v>44.459039195292299</v>
      </c>
      <c r="P1072">
        <v>0.48099139498678001</v>
      </c>
      <c r="Q1072">
        <v>1.3421506441719999</v>
      </c>
      <c r="R1072">
        <v>0.30423233603994898</v>
      </c>
      <c r="S1072" t="s">
        <v>2398</v>
      </c>
      <c r="T1072" t="s">
        <v>2650</v>
      </c>
      <c r="U1072" t="s">
        <v>2650</v>
      </c>
      <c r="V1072" t="s">
        <v>2650</v>
      </c>
      <c r="W1072" t="s">
        <v>3721</v>
      </c>
      <c r="X1072">
        <v>2</v>
      </c>
      <c r="Y1072" t="s">
        <v>5031</v>
      </c>
      <c r="Z1072" t="s">
        <v>6352</v>
      </c>
      <c r="AA1072">
        <v>1.29123605801829</v>
      </c>
      <c r="AB1072" t="str">
        <f>HYPERLINK("Melting_Curves/meltCurve_Q92838_9_EDA.pdf", "Melting_Curves/meltCurve_Q92838_9_EDA.pdf")</f>
        <v>Melting_Curves/meltCurve_Q92838_9_EDA.pdf</v>
      </c>
    </row>
    <row r="1073" spans="1:28" x14ac:dyDescent="0.25">
      <c r="A1073" t="s">
        <v>1077</v>
      </c>
      <c r="B1073">
        <v>1</v>
      </c>
      <c r="C1073">
        <v>0.80647309725233496</v>
      </c>
      <c r="D1073">
        <v>1.23939690232255</v>
      </c>
      <c r="E1073">
        <v>1.48634669614137</v>
      </c>
      <c r="F1073">
        <v>1.2292508041774699</v>
      </c>
      <c r="G1073">
        <v>1.3314486530912999</v>
      </c>
      <c r="H1073">
        <v>1.30327764315776</v>
      </c>
      <c r="I1073">
        <v>1.60523742719891</v>
      </c>
      <c r="J1073">
        <v>1.01446810922643</v>
      </c>
      <c r="K1073">
        <v>1.46565772506341</v>
      </c>
      <c r="L1073">
        <v>11463.6216264209</v>
      </c>
      <c r="M1073">
        <v>250</v>
      </c>
      <c r="O1073">
        <v>45.851554659578298</v>
      </c>
      <c r="P1073">
        <v>0.474295962372484</v>
      </c>
      <c r="Q1073">
        <v>1.3479552962535599</v>
      </c>
      <c r="R1073">
        <v>0.522398021702011</v>
      </c>
      <c r="S1073" t="s">
        <v>2399</v>
      </c>
      <c r="T1073" t="s">
        <v>2650</v>
      </c>
      <c r="U1073" t="s">
        <v>2650</v>
      </c>
      <c r="V1073" t="s">
        <v>2650</v>
      </c>
      <c r="W1073" t="s">
        <v>3722</v>
      </c>
      <c r="X1073">
        <v>8</v>
      </c>
      <c r="Y1073" t="s">
        <v>5032</v>
      </c>
      <c r="Z1073" t="s">
        <v>6353</v>
      </c>
      <c r="AA1073">
        <v>1.2800239753803879</v>
      </c>
      <c r="AB1073" t="str">
        <f>HYPERLINK("Melting_Curves/meltCurve_Q92859_3_NEO1.pdf", "Melting_Curves/meltCurve_Q92859_3_NEO1.pdf")</f>
        <v>Melting_Curves/meltCurve_Q92859_3_NEO1.pdf</v>
      </c>
    </row>
    <row r="1074" spans="1:28" x14ac:dyDescent="0.25">
      <c r="A1074" t="s">
        <v>1078</v>
      </c>
      <c r="B1074">
        <v>1</v>
      </c>
      <c r="C1074">
        <v>0.760203720106289</v>
      </c>
      <c r="D1074">
        <v>1.1348981399468601</v>
      </c>
      <c r="E1074">
        <v>1.3433126660761701</v>
      </c>
      <c r="F1074">
        <v>0.95925597874224999</v>
      </c>
      <c r="G1074">
        <v>1.0547387068201901</v>
      </c>
      <c r="H1074">
        <v>0.96510186005314402</v>
      </c>
      <c r="I1074">
        <v>1.1104517271922101</v>
      </c>
      <c r="J1074">
        <v>0.69877767936226798</v>
      </c>
      <c r="K1074">
        <v>0.97590788308237397</v>
      </c>
      <c r="L1074">
        <v>4174.7977738320897</v>
      </c>
      <c r="M1074">
        <v>63.933543071283097</v>
      </c>
      <c r="O1074">
        <v>65.235223450985401</v>
      </c>
      <c r="P1074">
        <v>-3.5988088751328501E-2</v>
      </c>
      <c r="Q1074">
        <v>0.85311683569810404</v>
      </c>
      <c r="R1074">
        <v>0.122114947429907</v>
      </c>
      <c r="S1074" t="s">
        <v>2400</v>
      </c>
      <c r="T1074" t="s">
        <v>2650</v>
      </c>
      <c r="U1074" t="s">
        <v>2650</v>
      </c>
      <c r="V1074" t="s">
        <v>2650</v>
      </c>
      <c r="W1074" t="s">
        <v>3723</v>
      </c>
      <c r="X1074">
        <v>31</v>
      </c>
      <c r="Y1074" t="s">
        <v>5033</v>
      </c>
      <c r="Z1074" t="s">
        <v>6354</v>
      </c>
      <c r="AA1074">
        <v>0.97716100127864247</v>
      </c>
      <c r="AB1074" t="str">
        <f>HYPERLINK("Melting_Curves/meltCurve_Q92896_GLG1.pdf", "Melting_Curves/meltCurve_Q92896_GLG1.pdf")</f>
        <v>Melting_Curves/meltCurve_Q92896_GLG1.pdf</v>
      </c>
    </row>
    <row r="1075" spans="1:28" x14ac:dyDescent="0.25">
      <c r="A1075" t="s">
        <v>1079</v>
      </c>
      <c r="B1075">
        <v>1</v>
      </c>
      <c r="C1075">
        <v>0.79287893007977495</v>
      </c>
      <c r="D1075">
        <v>1.12681839511966</v>
      </c>
      <c r="E1075">
        <v>1.16963866729235</v>
      </c>
      <c r="F1075">
        <v>0.91999061473486599</v>
      </c>
      <c r="G1075">
        <v>0.92919990614734904</v>
      </c>
      <c r="H1075">
        <v>0.88209760675739102</v>
      </c>
      <c r="I1075">
        <v>0.89253871421867703</v>
      </c>
      <c r="J1075">
        <v>0.59754809948381005</v>
      </c>
      <c r="K1075">
        <v>0.81587282965743801</v>
      </c>
      <c r="L1075">
        <v>1308.02798969132</v>
      </c>
      <c r="M1075">
        <v>21.112970056627599</v>
      </c>
      <c r="O1075">
        <v>61.406010601310598</v>
      </c>
      <c r="P1075">
        <v>-2.5168902959001101E-2</v>
      </c>
      <c r="Q1075">
        <v>0.70719780578150404</v>
      </c>
      <c r="R1075">
        <v>0.44872478342170102</v>
      </c>
      <c r="S1075" t="s">
        <v>2401</v>
      </c>
      <c r="T1075" t="s">
        <v>2650</v>
      </c>
      <c r="U1075" t="s">
        <v>2650</v>
      </c>
      <c r="V1075" t="s">
        <v>2650</v>
      </c>
      <c r="W1075" t="s">
        <v>3724</v>
      </c>
      <c r="X1075">
        <v>1</v>
      </c>
      <c r="Y1075" t="s">
        <v>5034</v>
      </c>
      <c r="Z1075" t="s">
        <v>6355</v>
      </c>
      <c r="AA1075">
        <v>0.92257649542895614</v>
      </c>
      <c r="AB1075" t="str">
        <f>HYPERLINK("Melting_Curves/meltCurve_Q92956_TNFRSF14.pdf", "Melting_Curves/meltCurve_Q92956_TNFRSF14.pdf")</f>
        <v>Melting_Curves/meltCurve_Q92956_TNFRSF14.pdf</v>
      </c>
    </row>
    <row r="1076" spans="1:28" x14ac:dyDescent="0.25">
      <c r="A1076" t="s">
        <v>1080</v>
      </c>
      <c r="B1076">
        <v>1</v>
      </c>
      <c r="C1076">
        <v>0.68179031269159995</v>
      </c>
      <c r="D1076">
        <v>1.19399141630901</v>
      </c>
      <c r="E1076">
        <v>1.2646638054363399</v>
      </c>
      <c r="F1076">
        <v>0.89748620478234198</v>
      </c>
      <c r="G1076">
        <v>0.90948293480482301</v>
      </c>
      <c r="H1076">
        <v>0.90024524831391795</v>
      </c>
      <c r="I1076">
        <v>0.97171469446147596</v>
      </c>
      <c r="J1076">
        <v>0.53576537911301902</v>
      </c>
      <c r="K1076">
        <v>0.90876762722256299</v>
      </c>
      <c r="L1076">
        <v>1278.7854130140399</v>
      </c>
      <c r="M1076">
        <v>20.724680672446301</v>
      </c>
      <c r="O1076">
        <v>61.137630260412799</v>
      </c>
      <c r="P1076">
        <v>-2.0958209415463499E-2</v>
      </c>
      <c r="Q1076">
        <v>0.75270084644439506</v>
      </c>
      <c r="R1076">
        <v>0.201049062103033</v>
      </c>
      <c r="S1076" t="s">
        <v>2402</v>
      </c>
      <c r="T1076" t="s">
        <v>2650</v>
      </c>
      <c r="U1076" t="s">
        <v>2650</v>
      </c>
      <c r="V1076" t="s">
        <v>2650</v>
      </c>
      <c r="W1076" t="s">
        <v>3725</v>
      </c>
      <c r="X1076">
        <v>1</v>
      </c>
      <c r="Y1076" t="s">
        <v>5035</v>
      </c>
      <c r="Z1076" t="s">
        <v>6356</v>
      </c>
      <c r="AA1076">
        <v>0.93268913331618042</v>
      </c>
      <c r="AB1076" t="str">
        <f>HYPERLINK("Melting_Curves/meltCurve_Q92995_2_USP13.pdf", "Melting_Curves/meltCurve_Q92995_2_USP13.pdf")</f>
        <v>Melting_Curves/meltCurve_Q92995_2_USP13.pdf</v>
      </c>
    </row>
    <row r="1077" spans="1:28" x14ac:dyDescent="0.25">
      <c r="A1077" t="s">
        <v>1081</v>
      </c>
      <c r="B1077">
        <v>1</v>
      </c>
      <c r="C1077">
        <v>0.69336088326758905</v>
      </c>
      <c r="D1077">
        <v>1.0572078559055</v>
      </c>
      <c r="E1077">
        <v>1.28992131571807</v>
      </c>
      <c r="F1077">
        <v>0.92834929977250402</v>
      </c>
      <c r="G1077">
        <v>0.86809425416901498</v>
      </c>
      <c r="H1077">
        <v>0.84041909293928596</v>
      </c>
      <c r="I1077">
        <v>0.98998184208878603</v>
      </c>
      <c r="J1077">
        <v>0.52215473879740404</v>
      </c>
      <c r="K1077">
        <v>0.901947279443992</v>
      </c>
      <c r="L1077">
        <v>2034.1452055784</v>
      </c>
      <c r="M1077">
        <v>36.398798559906801</v>
      </c>
      <c r="O1077">
        <v>55.717074549284597</v>
      </c>
      <c r="P1077">
        <v>-3.11619256415776E-2</v>
      </c>
      <c r="Q1077">
        <v>0.80919743249147502</v>
      </c>
      <c r="R1077">
        <v>0.197105510757078</v>
      </c>
      <c r="S1077" t="s">
        <v>2403</v>
      </c>
      <c r="T1077" t="s">
        <v>2650</v>
      </c>
      <c r="U1077" t="s">
        <v>2650</v>
      </c>
      <c r="V1077" t="s">
        <v>2650</v>
      </c>
      <c r="W1077" t="s">
        <v>3726</v>
      </c>
      <c r="X1077">
        <v>1</v>
      </c>
      <c r="Y1077" t="s">
        <v>5036</v>
      </c>
      <c r="Z1077" t="s">
        <v>6357</v>
      </c>
      <c r="AA1077">
        <v>0.91110842228889244</v>
      </c>
      <c r="AB1077" t="str">
        <f>HYPERLINK("Melting_Curves/meltCurve_Q93052_LPP.pdf", "Melting_Curves/meltCurve_Q93052_LPP.pdf")</f>
        <v>Melting_Curves/meltCurve_Q93052_LPP.pdf</v>
      </c>
    </row>
    <row r="1078" spans="1:28" x14ac:dyDescent="0.25">
      <c r="A1078" t="s">
        <v>1082</v>
      </c>
      <c r="B1078">
        <v>1</v>
      </c>
      <c r="C1078">
        <v>0.90192644483362505</v>
      </c>
      <c r="D1078">
        <v>1.5820380910683001</v>
      </c>
      <c r="E1078">
        <v>2.0812171628721501</v>
      </c>
      <c r="F1078">
        <v>1.7703590192644501</v>
      </c>
      <c r="G1078">
        <v>2.0628283712784601</v>
      </c>
      <c r="H1078">
        <v>1.8612084063047301</v>
      </c>
      <c r="I1078">
        <v>2.4521672504378298</v>
      </c>
      <c r="J1078">
        <v>2.0292797723292502</v>
      </c>
      <c r="K1078">
        <v>2.7492338003502601</v>
      </c>
      <c r="L1078">
        <v>11104.461706124101</v>
      </c>
      <c r="M1078">
        <v>250</v>
      </c>
      <c r="O1078">
        <v>44.415004393801297</v>
      </c>
      <c r="P1078">
        <v>0.70359106061172805</v>
      </c>
      <c r="Q1078">
        <v>1.5</v>
      </c>
      <c r="R1078">
        <v>-0.206596118137474</v>
      </c>
      <c r="S1078" t="s">
        <v>2404</v>
      </c>
      <c r="T1078" t="s">
        <v>2650</v>
      </c>
      <c r="U1078" t="s">
        <v>2650</v>
      </c>
      <c r="V1078" t="s">
        <v>2650</v>
      </c>
      <c r="W1078" t="s">
        <v>3727</v>
      </c>
      <c r="X1078">
        <v>3</v>
      </c>
      <c r="Y1078" t="s">
        <v>5037</v>
      </c>
      <c r="Z1078" t="s">
        <v>6358</v>
      </c>
      <c r="AA1078">
        <v>1.426330243276783</v>
      </c>
      <c r="AB1078" t="str">
        <f>HYPERLINK("Melting_Curves/meltCurve_Q93099_HGD.pdf", "Melting_Curves/meltCurve_Q93099_HGD.pdf")</f>
        <v>Melting_Curves/meltCurve_Q93099_HGD.pdf</v>
      </c>
    </row>
    <row r="1079" spans="1:28" x14ac:dyDescent="0.25">
      <c r="A1079" t="s">
        <v>1083</v>
      </c>
      <c r="B1079">
        <v>1</v>
      </c>
      <c r="C1079">
        <v>0.61720878064412799</v>
      </c>
      <c r="D1079">
        <v>1.17385034449607</v>
      </c>
      <c r="E1079">
        <v>1.46237248304225</v>
      </c>
      <c r="F1079">
        <v>1.0283074293649499</v>
      </c>
      <c r="G1079">
        <v>1.07258452171126</v>
      </c>
      <c r="H1079">
        <v>1.08679164663783</v>
      </c>
      <c r="I1079">
        <v>1.18998023820969</v>
      </c>
      <c r="J1079">
        <v>0.65527960262778395</v>
      </c>
      <c r="K1079">
        <v>1.0535491107194399</v>
      </c>
      <c r="L1079">
        <v>1318.6220454547799</v>
      </c>
      <c r="M1079">
        <v>19.3013997968959</v>
      </c>
      <c r="O1079">
        <v>67.596767025632204</v>
      </c>
      <c r="P1079">
        <v>-6.8380851611528999E-3</v>
      </c>
      <c r="Q1079">
        <v>0.90421106158758102</v>
      </c>
      <c r="R1079">
        <v>-1.11995945588526E-2</v>
      </c>
      <c r="S1079" t="s">
        <v>2405</v>
      </c>
      <c r="T1079" t="s">
        <v>2650</v>
      </c>
      <c r="U1079" t="s">
        <v>2650</v>
      </c>
      <c r="V1079" t="s">
        <v>2650</v>
      </c>
      <c r="W1079" t="s">
        <v>3728</v>
      </c>
      <c r="X1079">
        <v>2</v>
      </c>
      <c r="Y1079" t="s">
        <v>5038</v>
      </c>
      <c r="Z1079" t="s">
        <v>6359</v>
      </c>
      <c r="AA1079">
        <v>0.98999640275887768</v>
      </c>
      <c r="AB1079" t="str">
        <f>HYPERLINK("Melting_Curves/meltCurve_Q969H8_MYDGF.pdf", "Melting_Curves/meltCurve_Q969H8_MYDGF.pdf")</f>
        <v>Melting_Curves/meltCurve_Q969H8_MYDGF.pdf</v>
      </c>
    </row>
    <row r="1080" spans="1:28" x14ac:dyDescent="0.25">
      <c r="A1080" t="s">
        <v>1084</v>
      </c>
      <c r="B1080">
        <v>1</v>
      </c>
      <c r="C1080">
        <v>0.73339636019853505</v>
      </c>
      <c r="D1080">
        <v>1.02913022926022</v>
      </c>
      <c r="E1080">
        <v>1.2803119829827501</v>
      </c>
      <c r="F1080">
        <v>0.98215551878988405</v>
      </c>
      <c r="G1080">
        <v>1.04254313401087</v>
      </c>
      <c r="H1080">
        <v>0.99669108957693198</v>
      </c>
      <c r="I1080">
        <v>1.3182462774757699</v>
      </c>
      <c r="J1080">
        <v>0.66952257149609995</v>
      </c>
      <c r="K1080">
        <v>1.0789411486646201</v>
      </c>
      <c r="L1080">
        <v>1068.4004606047999</v>
      </c>
      <c r="M1080">
        <v>13.6414415143445</v>
      </c>
      <c r="Q1080">
        <v>0.95505806889370803</v>
      </c>
      <c r="R1080">
        <v>-4.3065651444325103E-3</v>
      </c>
      <c r="S1080" t="s">
        <v>2406</v>
      </c>
      <c r="T1080" t="s">
        <v>2650</v>
      </c>
      <c r="U1080" t="s">
        <v>2650</v>
      </c>
      <c r="V1080" t="s">
        <v>2650</v>
      </c>
      <c r="W1080" t="s">
        <v>3729</v>
      </c>
      <c r="X1080">
        <v>4</v>
      </c>
      <c r="Y1080" t="s">
        <v>5039</v>
      </c>
      <c r="Z1080" t="s">
        <v>6360</v>
      </c>
      <c r="AA1080">
        <v>0.99890356326374585</v>
      </c>
      <c r="AB1080" t="str">
        <f>HYPERLINK("Melting_Curves/meltCurve_Q96AE7_2_TTC17.pdf", "Melting_Curves/meltCurve_Q96AE7_2_TTC17.pdf")</f>
        <v>Melting_Curves/meltCurve_Q96AE7_2_TTC17.pdf</v>
      </c>
    </row>
    <row r="1081" spans="1:28" x14ac:dyDescent="0.25">
      <c r="A1081" t="s">
        <v>1085</v>
      </c>
      <c r="B1081">
        <v>1</v>
      </c>
      <c r="C1081">
        <v>0.873909046408061</v>
      </c>
      <c r="D1081">
        <v>1.1178767147820501</v>
      </c>
      <c r="E1081">
        <v>1.3314708024403901</v>
      </c>
      <c r="F1081">
        <v>1.16219539859355</v>
      </c>
      <c r="G1081">
        <v>1.1380899506906901</v>
      </c>
      <c r="H1081">
        <v>0.96172260228995798</v>
      </c>
      <c r="I1081">
        <v>1.05789366858889</v>
      </c>
      <c r="J1081">
        <v>0.70886015497212196</v>
      </c>
      <c r="K1081">
        <v>0.84739185978485398</v>
      </c>
      <c r="L1081">
        <v>15000</v>
      </c>
      <c r="M1081">
        <v>229.21310251812699</v>
      </c>
      <c r="O1081">
        <v>65.436279361040306</v>
      </c>
      <c r="P1081">
        <v>-0.19446978737189799</v>
      </c>
      <c r="Q1081">
        <v>0.77792920432038404</v>
      </c>
      <c r="R1081">
        <v>0.32042072285144502</v>
      </c>
      <c r="S1081" t="s">
        <v>2407</v>
      </c>
      <c r="T1081" t="s">
        <v>2650</v>
      </c>
      <c r="U1081" t="s">
        <v>2650</v>
      </c>
      <c r="V1081" t="s">
        <v>2650</v>
      </c>
      <c r="W1081" t="s">
        <v>3730</v>
      </c>
      <c r="X1081">
        <v>1</v>
      </c>
      <c r="Y1081" t="s">
        <v>5040</v>
      </c>
      <c r="Z1081" t="s">
        <v>6361</v>
      </c>
      <c r="AA1081">
        <v>0.96628509275130103</v>
      </c>
      <c r="AB1081" t="str">
        <f>HYPERLINK("Melting_Curves/meltCurve_Q96AQ6_2_PBXIP1.pdf", "Melting_Curves/meltCurve_Q96AQ6_2_PBXIP1.pdf")</f>
        <v>Melting_Curves/meltCurve_Q96AQ6_2_PBXIP1.pdf</v>
      </c>
    </row>
    <row r="1082" spans="1:28" x14ac:dyDescent="0.25">
      <c r="A1082" t="s">
        <v>1086</v>
      </c>
      <c r="B1082">
        <v>1</v>
      </c>
      <c r="C1082">
        <v>0.939772635652665</v>
      </c>
      <c r="D1082">
        <v>1.2300249939530801</v>
      </c>
      <c r="E1082">
        <v>1.7428041602838</v>
      </c>
      <c r="F1082">
        <v>1.5435781665726001</v>
      </c>
      <c r="G1082">
        <v>1.96041280335403</v>
      </c>
      <c r="H1082">
        <v>1.8647101507699799</v>
      </c>
      <c r="I1082">
        <v>2.5426912843666898</v>
      </c>
      <c r="J1082">
        <v>1.8143191163428201</v>
      </c>
      <c r="K1082">
        <v>2.3260501491574601</v>
      </c>
      <c r="L1082">
        <v>11507.366505348</v>
      </c>
      <c r="M1082">
        <v>250</v>
      </c>
      <c r="O1082">
        <v>46.026520199829598</v>
      </c>
      <c r="P1082">
        <v>0.67895638725849905</v>
      </c>
      <c r="Q1082">
        <v>1.5</v>
      </c>
      <c r="R1082">
        <v>9.7914486670633502E-2</v>
      </c>
      <c r="S1082" t="s">
        <v>2408</v>
      </c>
      <c r="T1082" t="s">
        <v>2650</v>
      </c>
      <c r="U1082" t="s">
        <v>2650</v>
      </c>
      <c r="V1082" t="s">
        <v>2650</v>
      </c>
      <c r="W1082" t="s">
        <v>3731</v>
      </c>
      <c r="X1082">
        <v>1</v>
      </c>
      <c r="Y1082" t="s">
        <v>5041</v>
      </c>
      <c r="Z1082" t="s">
        <v>6362</v>
      </c>
      <c r="AA1082">
        <v>1.399468509145221</v>
      </c>
      <c r="AB1082" t="str">
        <f>HYPERLINK("Melting_Curves/meltCurve_Q96AT9_4_RPE.pdf", "Melting_Curves/meltCurve_Q96AT9_4_RPE.pdf")</f>
        <v>Melting_Curves/meltCurve_Q96AT9_4_RPE.pdf</v>
      </c>
    </row>
    <row r="1083" spans="1:28" x14ac:dyDescent="0.25">
      <c r="A1083" t="s">
        <v>1087</v>
      </c>
      <c r="B1083">
        <v>1</v>
      </c>
      <c r="C1083">
        <v>0.75305694233412901</v>
      </c>
      <c r="D1083">
        <v>1.09463859344476</v>
      </c>
      <c r="E1083">
        <v>1.18927718688952</v>
      </c>
      <c r="F1083">
        <v>0.95760075247811305</v>
      </c>
      <c r="G1083">
        <v>0.93654583604659603</v>
      </c>
      <c r="H1083">
        <v>0.817306996599378</v>
      </c>
      <c r="I1083">
        <v>0.940525287605817</v>
      </c>
      <c r="J1083">
        <v>0.65094421532450597</v>
      </c>
      <c r="K1083">
        <v>0.84183488893712499</v>
      </c>
      <c r="L1083">
        <v>1408.3677631288899</v>
      </c>
      <c r="M1083">
        <v>23.6996669495479</v>
      </c>
      <c r="O1083">
        <v>59.007370422448503</v>
      </c>
      <c r="P1083">
        <v>-2.2073925489757298E-2</v>
      </c>
      <c r="Q1083">
        <v>0.78016517800181495</v>
      </c>
      <c r="R1083">
        <v>0.34807754940958202</v>
      </c>
      <c r="S1083" t="s">
        <v>2409</v>
      </c>
      <c r="T1083" t="s">
        <v>2650</v>
      </c>
      <c r="U1083" t="s">
        <v>2650</v>
      </c>
      <c r="V1083" t="s">
        <v>2650</v>
      </c>
      <c r="W1083" t="s">
        <v>3732</v>
      </c>
      <c r="X1083">
        <v>2</v>
      </c>
      <c r="Y1083" t="s">
        <v>5042</v>
      </c>
      <c r="Z1083" t="s">
        <v>6363</v>
      </c>
      <c r="AA1083">
        <v>0.92434583779599566</v>
      </c>
      <c r="AB1083" t="str">
        <f>HYPERLINK("Melting_Curves/meltCurve_Q96BA8_2_CREB3L1.pdf", "Melting_Curves/meltCurve_Q96BA8_2_CREB3L1.pdf")</f>
        <v>Melting_Curves/meltCurve_Q96BA8_2_CREB3L1.pdf</v>
      </c>
    </row>
    <row r="1084" spans="1:28" x14ac:dyDescent="0.25">
      <c r="A1084" t="s">
        <v>1088</v>
      </c>
      <c r="B1084">
        <v>1</v>
      </c>
      <c r="C1084">
        <v>0.81978947368421096</v>
      </c>
      <c r="D1084">
        <v>1.1753684210526301</v>
      </c>
      <c r="E1084">
        <v>1.48858947368421</v>
      </c>
      <c r="F1084">
        <v>1.46673684210526</v>
      </c>
      <c r="G1084">
        <v>1.75915789473684</v>
      </c>
      <c r="H1084">
        <v>1.79768421052632</v>
      </c>
      <c r="I1084">
        <v>2.18846315789474</v>
      </c>
      <c r="J1084">
        <v>1.4733473684210501</v>
      </c>
      <c r="K1084">
        <v>1.9989473684210499</v>
      </c>
      <c r="L1084">
        <v>11528.326890525999</v>
      </c>
      <c r="M1084">
        <v>250</v>
      </c>
      <c r="O1084">
        <v>46.110357630957303</v>
      </c>
      <c r="P1084">
        <v>0.67772193341401699</v>
      </c>
      <c r="Q1084">
        <v>1.5</v>
      </c>
      <c r="R1084">
        <v>0.46156601598234698</v>
      </c>
      <c r="S1084" t="s">
        <v>2410</v>
      </c>
      <c r="T1084" t="s">
        <v>2650</v>
      </c>
      <c r="U1084" t="s">
        <v>2650</v>
      </c>
      <c r="V1084" t="s">
        <v>2650</v>
      </c>
      <c r="W1084" t="s">
        <v>3733</v>
      </c>
      <c r="X1084">
        <v>5</v>
      </c>
      <c r="Y1084" t="s">
        <v>5043</v>
      </c>
      <c r="Z1084" t="s">
        <v>6364</v>
      </c>
      <c r="AA1084">
        <v>1.3980710765630551</v>
      </c>
      <c r="AB1084" t="str">
        <f>HYPERLINK("Melting_Curves/meltCurve_Q96BQ1_FAM3D.pdf", "Melting_Curves/meltCurve_Q96BQ1_FAM3D.pdf")</f>
        <v>Melting_Curves/meltCurve_Q96BQ1_FAM3D.pdf</v>
      </c>
    </row>
    <row r="1085" spans="1:28" x14ac:dyDescent="0.25">
      <c r="A1085" t="s">
        <v>1089</v>
      </c>
      <c r="B1085">
        <v>1</v>
      </c>
      <c r="C1085">
        <v>0.73974856433338498</v>
      </c>
      <c r="D1085">
        <v>1.1203787055719401</v>
      </c>
      <c r="E1085">
        <v>1.38876299860314</v>
      </c>
      <c r="F1085">
        <v>1.0992394847120901</v>
      </c>
      <c r="G1085">
        <v>1.1577215582803</v>
      </c>
      <c r="H1085">
        <v>1.1636504733819699</v>
      </c>
      <c r="I1085">
        <v>1.49787366133789</v>
      </c>
      <c r="J1085">
        <v>0.89809095142014606</v>
      </c>
      <c r="K1085">
        <v>1.27226447307155</v>
      </c>
      <c r="L1085">
        <v>11486.9819106182</v>
      </c>
      <c r="M1085">
        <v>250</v>
      </c>
      <c r="O1085">
        <v>45.944987775724798</v>
      </c>
      <c r="P1085">
        <v>0.28714534779624001</v>
      </c>
      <c r="Q1085">
        <v>1.2110862293844999</v>
      </c>
      <c r="R1085">
        <v>0.32888508093922802</v>
      </c>
      <c r="S1085" t="s">
        <v>2411</v>
      </c>
      <c r="T1085" t="s">
        <v>2650</v>
      </c>
      <c r="U1085" t="s">
        <v>2650</v>
      </c>
      <c r="V1085" t="s">
        <v>2650</v>
      </c>
      <c r="W1085" t="s">
        <v>3734</v>
      </c>
      <c r="X1085">
        <v>6</v>
      </c>
      <c r="Y1085" t="s">
        <v>5044</v>
      </c>
      <c r="Z1085" t="s">
        <v>6365</v>
      </c>
      <c r="AA1085">
        <v>1.1692183538779719</v>
      </c>
      <c r="AB1085" t="str">
        <f>HYPERLINK("Melting_Curves/meltCurve_Q96C19_EFHD2.pdf", "Melting_Curves/meltCurve_Q96C19_EFHD2.pdf")</f>
        <v>Melting_Curves/meltCurve_Q96C19_EFHD2.pdf</v>
      </c>
    </row>
    <row r="1086" spans="1:28" x14ac:dyDescent="0.25">
      <c r="A1086" t="s">
        <v>1090</v>
      </c>
      <c r="B1086">
        <v>1</v>
      </c>
      <c r="C1086">
        <v>0.84968897266729504</v>
      </c>
      <c r="D1086">
        <v>1.2702356267671999</v>
      </c>
      <c r="E1086">
        <v>1.95419415645617</v>
      </c>
      <c r="F1086">
        <v>2.3524222431668198</v>
      </c>
      <c r="G1086">
        <v>3.4204712535344002</v>
      </c>
      <c r="H1086">
        <v>3.4003016022620201</v>
      </c>
      <c r="I1086">
        <v>4.9658812441093296</v>
      </c>
      <c r="J1086">
        <v>3.2005655042412799</v>
      </c>
      <c r="K1086">
        <v>4.5681432610744599</v>
      </c>
      <c r="L1086">
        <v>11492.536896683099</v>
      </c>
      <c r="M1086">
        <v>250</v>
      </c>
      <c r="O1086">
        <v>45.967205864697299</v>
      </c>
      <c r="P1086">
        <v>0.67983249125690903</v>
      </c>
      <c r="Q1086">
        <v>1.5</v>
      </c>
      <c r="R1086">
        <v>-0.72167710313084799</v>
      </c>
      <c r="S1086" t="s">
        <v>2412</v>
      </c>
      <c r="T1086" t="s">
        <v>2650</v>
      </c>
      <c r="U1086" t="s">
        <v>2650</v>
      </c>
      <c r="V1086" t="s">
        <v>2650</v>
      </c>
      <c r="W1086" t="s">
        <v>3735</v>
      </c>
      <c r="X1086">
        <v>4</v>
      </c>
      <c r="Y1086" t="s">
        <v>5045</v>
      </c>
      <c r="Z1086" t="s">
        <v>6366</v>
      </c>
      <c r="AA1086">
        <v>1.400457201774346</v>
      </c>
      <c r="AB1086" t="str">
        <f>HYPERLINK("Melting_Curves/meltCurve_Q96CN7_ISOC1.pdf", "Melting_Curves/meltCurve_Q96CN7_ISOC1.pdf")</f>
        <v>Melting_Curves/meltCurve_Q96CN7_ISOC1.pdf</v>
      </c>
    </row>
    <row r="1087" spans="1:28" x14ac:dyDescent="0.25">
      <c r="A1087" t="s">
        <v>1091</v>
      </c>
      <c r="B1087">
        <v>1</v>
      </c>
      <c r="C1087">
        <v>0.79089766299068598</v>
      </c>
      <c r="D1087">
        <v>1.0675961373635801</v>
      </c>
      <c r="E1087">
        <v>1.3672361579338299</v>
      </c>
      <c r="F1087">
        <v>0.93426089937717804</v>
      </c>
      <c r="G1087">
        <v>0.95594537455002604</v>
      </c>
      <c r="H1087">
        <v>0.86580766813325005</v>
      </c>
      <c r="I1087">
        <v>1.21918747500143</v>
      </c>
      <c r="J1087">
        <v>0.67073310096565897</v>
      </c>
      <c r="K1087">
        <v>0.74061482201017104</v>
      </c>
      <c r="L1087">
        <v>11374.560280993101</v>
      </c>
      <c r="M1087">
        <v>172.91234151204901</v>
      </c>
      <c r="O1087">
        <v>65.773429947939604</v>
      </c>
      <c r="P1087">
        <v>-0.19556850285733099</v>
      </c>
      <c r="Q1087">
        <v>0.70243390914970805</v>
      </c>
      <c r="R1087">
        <v>0.37539871869782598</v>
      </c>
      <c r="S1087" t="s">
        <v>2413</v>
      </c>
      <c r="T1087" t="s">
        <v>2650</v>
      </c>
      <c r="U1087" t="s">
        <v>2650</v>
      </c>
      <c r="V1087" t="s">
        <v>2650</v>
      </c>
      <c r="W1087" t="s">
        <v>3736</v>
      </c>
      <c r="X1087">
        <v>1</v>
      </c>
      <c r="Y1087" t="s">
        <v>5046</v>
      </c>
      <c r="Z1087" t="s">
        <v>6367</v>
      </c>
      <c r="AA1087">
        <v>0.95823623789787349</v>
      </c>
      <c r="AB1087" t="str">
        <f>HYPERLINK("Melting_Curves/meltCurve_Q96CT7_CCDC124.pdf", "Melting_Curves/meltCurve_Q96CT7_CCDC124.pdf")</f>
        <v>Melting_Curves/meltCurve_Q96CT7_CCDC124.pdf</v>
      </c>
    </row>
    <row r="1088" spans="1:28" x14ac:dyDescent="0.25">
      <c r="A1088" t="s">
        <v>1092</v>
      </c>
      <c r="B1088">
        <v>1</v>
      </c>
      <c r="C1088">
        <v>0.87622088382555696</v>
      </c>
      <c r="D1088">
        <v>1.24356723024454</v>
      </c>
      <c r="E1088">
        <v>1.5651984616501</v>
      </c>
      <c r="F1088">
        <v>1.51382338001596</v>
      </c>
      <c r="G1088">
        <v>2.1821348233074498</v>
      </c>
      <c r="H1088">
        <v>1.9270009433277699</v>
      </c>
      <c r="I1088">
        <v>2.4783397431245899</v>
      </c>
      <c r="J1088">
        <v>2.0056599666207102</v>
      </c>
      <c r="K1088">
        <v>2.2632610115376202</v>
      </c>
      <c r="L1088">
        <v>11502.3677843808</v>
      </c>
      <c r="M1088">
        <v>250</v>
      </c>
      <c r="O1088">
        <v>46.006526765967998</v>
      </c>
      <c r="P1088">
        <v>0.67925144942271598</v>
      </c>
      <c r="Q1088">
        <v>1.5</v>
      </c>
      <c r="R1088">
        <v>9.78584582116169E-2</v>
      </c>
      <c r="S1088" t="s">
        <v>2414</v>
      </c>
      <c r="T1088" t="s">
        <v>2650</v>
      </c>
      <c r="U1088" t="s">
        <v>2650</v>
      </c>
      <c r="V1088" t="s">
        <v>2650</v>
      </c>
      <c r="W1088" t="s">
        <v>3737</v>
      </c>
      <c r="X1088">
        <v>5</v>
      </c>
      <c r="Y1088" t="s">
        <v>5047</v>
      </c>
      <c r="Z1088" t="s">
        <v>6368</v>
      </c>
      <c r="AA1088">
        <v>1.399801774755056</v>
      </c>
      <c r="AB1088" t="str">
        <f>HYPERLINK("Melting_Curves/meltCurve_Q96DA0_ZG16B.pdf", "Melting_Curves/meltCurve_Q96DA0_ZG16B.pdf")</f>
        <v>Melting_Curves/meltCurve_Q96DA0_ZG16B.pdf</v>
      </c>
    </row>
    <row r="1089" spans="1:28" x14ac:dyDescent="0.25">
      <c r="A1089" t="s">
        <v>1093</v>
      </c>
      <c r="B1089">
        <v>1</v>
      </c>
      <c r="C1089">
        <v>0.89215952251763397</v>
      </c>
      <c r="D1089">
        <v>1.0718258274552399</v>
      </c>
      <c r="E1089">
        <v>1.0686154820039799</v>
      </c>
      <c r="F1089">
        <v>0.99366974136371899</v>
      </c>
      <c r="G1089">
        <v>1.02109332609875</v>
      </c>
      <c r="H1089">
        <v>0.96721830349068505</v>
      </c>
      <c r="I1089">
        <v>1.0208898534997299</v>
      </c>
      <c r="J1089">
        <v>0.84393651654910495</v>
      </c>
      <c r="K1089">
        <v>1.00617200217037</v>
      </c>
      <c r="L1089">
        <v>15000</v>
      </c>
      <c r="M1089">
        <v>229.797662546525</v>
      </c>
      <c r="O1089">
        <v>65.269871622435204</v>
      </c>
      <c r="P1089">
        <v>-6.5861170366648403E-2</v>
      </c>
      <c r="Q1089">
        <v>0.92517330110725404</v>
      </c>
      <c r="R1089">
        <v>0.21167864983465801</v>
      </c>
      <c r="S1089" t="s">
        <v>2415</v>
      </c>
      <c r="T1089" t="s">
        <v>2650</v>
      </c>
      <c r="U1089" t="s">
        <v>2650</v>
      </c>
      <c r="V1089" t="s">
        <v>2650</v>
      </c>
      <c r="W1089" t="s">
        <v>3738</v>
      </c>
      <c r="X1089">
        <v>1</v>
      </c>
      <c r="Y1089" t="s">
        <v>5048</v>
      </c>
      <c r="Z1089" t="s">
        <v>6369</v>
      </c>
      <c r="AA1089">
        <v>0.98822448001590069</v>
      </c>
      <c r="AB1089" t="str">
        <f>HYPERLINK("Melting_Curves/meltCurve_Q96DD7_SHISA4.pdf", "Melting_Curves/meltCurve_Q96DD7_SHISA4.pdf")</f>
        <v>Melting_Curves/meltCurve_Q96DD7_SHISA4.pdf</v>
      </c>
    </row>
    <row r="1090" spans="1:28" x14ac:dyDescent="0.25">
      <c r="A1090" t="s">
        <v>1094</v>
      </c>
      <c r="B1090">
        <v>1</v>
      </c>
      <c r="C1090">
        <v>1.0470859558929499</v>
      </c>
      <c r="D1090">
        <v>1.0929226925479301</v>
      </c>
      <c r="E1090">
        <v>1.2545524431845501</v>
      </c>
      <c r="F1090">
        <v>1.08701292461442</v>
      </c>
      <c r="G1090">
        <v>1.18800749531543</v>
      </c>
      <c r="H1090">
        <v>1.29822706961995</v>
      </c>
      <c r="I1090">
        <v>1.6154807091721499</v>
      </c>
      <c r="J1090">
        <v>1.07432854465959</v>
      </c>
      <c r="K1090">
        <v>1.21962235141498</v>
      </c>
      <c r="L1090">
        <v>573.33853716081296</v>
      </c>
      <c r="M1090">
        <v>11.699927977111299</v>
      </c>
      <c r="O1090">
        <v>47.637711489291704</v>
      </c>
      <c r="P1090">
        <v>1.8042145046845599E-2</v>
      </c>
      <c r="Q1090">
        <v>1.29376523705688</v>
      </c>
      <c r="R1090">
        <v>0.33930632867112398</v>
      </c>
      <c r="S1090" t="s">
        <v>2416</v>
      </c>
      <c r="T1090" t="s">
        <v>2650</v>
      </c>
      <c r="U1090" t="s">
        <v>2650</v>
      </c>
      <c r="V1090" t="s">
        <v>2650</v>
      </c>
      <c r="W1090" t="s">
        <v>3739</v>
      </c>
      <c r="X1090">
        <v>1</v>
      </c>
      <c r="Y1090" t="s">
        <v>5049</v>
      </c>
      <c r="Z1090" t="s">
        <v>6370</v>
      </c>
      <c r="AA1090">
        <v>1.1943471875547229</v>
      </c>
      <c r="AB1090" t="str">
        <f>HYPERLINK("Melting_Curves/meltCurve_Q96DR5_BPIFA2.pdf", "Melting_Curves/meltCurve_Q96DR5_BPIFA2.pdf")</f>
        <v>Melting_Curves/meltCurve_Q96DR5_BPIFA2.pdf</v>
      </c>
    </row>
    <row r="1091" spans="1:28" x14ac:dyDescent="0.25">
      <c r="A1091" t="s">
        <v>1095</v>
      </c>
      <c r="B1091">
        <v>1</v>
      </c>
      <c r="C1091">
        <v>0.77392087467610404</v>
      </c>
      <c r="D1091">
        <v>1.1181349933640901</v>
      </c>
      <c r="E1091">
        <v>1.38929090564368</v>
      </c>
      <c r="F1091">
        <v>1.1433672502054</v>
      </c>
      <c r="G1091">
        <v>1.0526764835998199</v>
      </c>
      <c r="H1091">
        <v>0.94523794476395095</v>
      </c>
      <c r="I1091">
        <v>1.1295582380079601</v>
      </c>
      <c r="J1091">
        <v>0.76379321241231102</v>
      </c>
      <c r="K1091">
        <v>0.97941287998483195</v>
      </c>
      <c r="L1091">
        <v>1491.75393456078</v>
      </c>
      <c r="M1091">
        <v>22.3499622943324</v>
      </c>
      <c r="O1091">
        <v>66.217818701015005</v>
      </c>
      <c r="P1091">
        <v>-9.7347313341359896E-3</v>
      </c>
      <c r="Q1091">
        <v>0.88463532501314301</v>
      </c>
      <c r="R1091">
        <v>1.2376671194855899E-2</v>
      </c>
      <c r="S1091" t="s">
        <v>2417</v>
      </c>
      <c r="T1091" t="s">
        <v>2650</v>
      </c>
      <c r="U1091" t="s">
        <v>2650</v>
      </c>
      <c r="V1091" t="s">
        <v>2650</v>
      </c>
      <c r="W1091" t="s">
        <v>3740</v>
      </c>
      <c r="X1091">
        <v>2</v>
      </c>
      <c r="Y1091" t="s">
        <v>5050</v>
      </c>
      <c r="Z1091" t="s">
        <v>6371</v>
      </c>
      <c r="AA1091">
        <v>0.98494040316015352</v>
      </c>
      <c r="AB1091" t="str">
        <f>HYPERLINK("Melting_Curves/meltCurve_Q96DR8_MUCL1.pdf", "Melting_Curves/meltCurve_Q96DR8_MUCL1.pdf")</f>
        <v>Melting_Curves/meltCurve_Q96DR8_MUCL1.pdf</v>
      </c>
    </row>
    <row r="1092" spans="1:28" x14ac:dyDescent="0.25">
      <c r="A1092" t="s">
        <v>1096</v>
      </c>
      <c r="B1092">
        <v>1</v>
      </c>
      <c r="C1092">
        <v>0.91978327720017605</v>
      </c>
      <c r="D1092">
        <v>1.2096060916678899</v>
      </c>
      <c r="E1092">
        <v>1.45462000292869</v>
      </c>
      <c r="F1092">
        <v>1.2274125054912901</v>
      </c>
      <c r="G1092">
        <v>1.18471225655294</v>
      </c>
      <c r="H1092">
        <v>1.0773466100453899</v>
      </c>
      <c r="I1092">
        <v>1.31908039244399</v>
      </c>
      <c r="J1092">
        <v>0.92072045687509196</v>
      </c>
      <c r="K1092">
        <v>1.1707717088885601</v>
      </c>
      <c r="L1092">
        <v>11139.0660124603</v>
      </c>
      <c r="M1092">
        <v>250</v>
      </c>
      <c r="O1092">
        <v>44.553412862270697</v>
      </c>
      <c r="P1092">
        <v>0.274308295580803</v>
      </c>
      <c r="Q1092">
        <v>1.1955419311667499</v>
      </c>
      <c r="R1092">
        <v>0.32202587798511501</v>
      </c>
      <c r="S1092" t="s">
        <v>2418</v>
      </c>
      <c r="T1092" t="s">
        <v>2650</v>
      </c>
      <c r="U1092" t="s">
        <v>2650</v>
      </c>
      <c r="V1092" t="s">
        <v>2650</v>
      </c>
      <c r="W1092" t="s">
        <v>3741</v>
      </c>
      <c r="X1092">
        <v>3</v>
      </c>
      <c r="Y1092" t="s">
        <v>5051</v>
      </c>
      <c r="Z1092" t="s">
        <v>6372</v>
      </c>
      <c r="AA1092">
        <v>1.165828618284183</v>
      </c>
      <c r="AB1092" t="str">
        <f>HYPERLINK("Melting_Curves/meltCurve_Q96DZ1_2_ERLEC1.pdf", "Melting_Curves/meltCurve_Q96DZ1_2_ERLEC1.pdf")</f>
        <v>Melting_Curves/meltCurve_Q96DZ1_2_ERLEC1.pdf</v>
      </c>
    </row>
    <row r="1093" spans="1:28" x14ac:dyDescent="0.25">
      <c r="A1093" t="s">
        <v>1097</v>
      </c>
      <c r="B1093">
        <v>1</v>
      </c>
      <c r="C1093">
        <v>1.02645616516272</v>
      </c>
      <c r="D1093">
        <v>1.46837097046932</v>
      </c>
      <c r="E1093">
        <v>2.3375505372707601</v>
      </c>
      <c r="F1093">
        <v>2.3999631058707802</v>
      </c>
      <c r="G1093">
        <v>2.5523051144486599</v>
      </c>
      <c r="H1093">
        <v>2.95967779127146</v>
      </c>
      <c r="I1093">
        <v>3.7819556962998302</v>
      </c>
      <c r="J1093">
        <v>2.8268589260733901</v>
      </c>
      <c r="K1093">
        <v>3.90647338242302</v>
      </c>
      <c r="L1093">
        <v>3682.05148856093</v>
      </c>
      <c r="M1093">
        <v>82.859386700422107</v>
      </c>
      <c r="O1093">
        <v>44.4115038133166</v>
      </c>
      <c r="P1093">
        <v>0.233215002805955</v>
      </c>
      <c r="Q1093">
        <v>1.5</v>
      </c>
      <c r="R1093">
        <v>-0.86070356954031901</v>
      </c>
      <c r="S1093" t="s">
        <v>2419</v>
      </c>
      <c r="T1093" t="s">
        <v>2650</v>
      </c>
      <c r="U1093" t="s">
        <v>2650</v>
      </c>
      <c r="V1093" t="s">
        <v>2650</v>
      </c>
      <c r="W1093" t="s">
        <v>3742</v>
      </c>
      <c r="X1093">
        <v>1</v>
      </c>
      <c r="Y1093" t="s">
        <v>5052</v>
      </c>
      <c r="Z1093" t="s">
        <v>6373</v>
      </c>
      <c r="AA1093">
        <v>1.4256878543907039</v>
      </c>
      <c r="AB1093" t="str">
        <f>HYPERLINK("Melting_Curves/meltCurve_Q96EK6_GNPNAT1.pdf", "Melting_Curves/meltCurve_Q96EK6_GNPNAT1.pdf")</f>
        <v>Melting_Curves/meltCurve_Q96EK6_GNPNAT1.pdf</v>
      </c>
    </row>
    <row r="1094" spans="1:28" x14ac:dyDescent="0.25">
      <c r="A1094" t="s">
        <v>1098</v>
      </c>
      <c r="B1094">
        <v>1</v>
      </c>
      <c r="C1094">
        <v>0.76544446156216295</v>
      </c>
      <c r="D1094">
        <v>1.3933138191341901</v>
      </c>
      <c r="E1094">
        <v>1.83346171622246</v>
      </c>
      <c r="F1094">
        <v>1.32780003081189</v>
      </c>
      <c r="G1094">
        <v>1.67212293945463</v>
      </c>
      <c r="H1094">
        <v>1.7759590201817901</v>
      </c>
      <c r="I1094">
        <v>2.0496071483592702</v>
      </c>
      <c r="J1094">
        <v>1.2323216761669999</v>
      </c>
      <c r="K1094">
        <v>1.7883993221383501</v>
      </c>
      <c r="L1094">
        <v>11439.9831027857</v>
      </c>
      <c r="M1094">
        <v>250</v>
      </c>
      <c r="O1094">
        <v>45.757004093228502</v>
      </c>
      <c r="P1094">
        <v>0.68295555326752699</v>
      </c>
      <c r="Q1094">
        <v>1.5</v>
      </c>
      <c r="R1094">
        <v>0.49493548996162701</v>
      </c>
      <c r="S1094" t="s">
        <v>2420</v>
      </c>
      <c r="T1094" t="s">
        <v>2650</v>
      </c>
      <c r="U1094" t="s">
        <v>2650</v>
      </c>
      <c r="V1094" t="s">
        <v>2650</v>
      </c>
      <c r="W1094" t="s">
        <v>3743</v>
      </c>
      <c r="X1094">
        <v>2</v>
      </c>
      <c r="Y1094" t="s">
        <v>5053</v>
      </c>
      <c r="Z1094" t="s">
        <v>6374</v>
      </c>
      <c r="AA1094">
        <v>1.40396097249635</v>
      </c>
      <c r="AB1094" t="str">
        <f>HYPERLINK("Melting_Curves/meltCurve_Q96EU7_C1GALT1C1.pdf", "Melting_Curves/meltCurve_Q96EU7_C1GALT1C1.pdf")</f>
        <v>Melting_Curves/meltCurve_Q96EU7_C1GALT1C1.pdf</v>
      </c>
    </row>
    <row r="1095" spans="1:28" x14ac:dyDescent="0.25">
      <c r="A1095" t="s">
        <v>1099</v>
      </c>
      <c r="B1095">
        <v>1</v>
      </c>
      <c r="C1095">
        <v>0.76741083340745397</v>
      </c>
      <c r="D1095">
        <v>1.0989356340241301</v>
      </c>
      <c r="E1095">
        <v>1.20818879895639</v>
      </c>
      <c r="F1095">
        <v>1.0193305464140601</v>
      </c>
      <c r="G1095">
        <v>1.0481188294939101</v>
      </c>
      <c r="H1095">
        <v>0.89955231403243496</v>
      </c>
      <c r="I1095">
        <v>0.99937739037623396</v>
      </c>
      <c r="J1095">
        <v>0.81155682054018796</v>
      </c>
      <c r="K1095">
        <v>0.97930564202911397</v>
      </c>
      <c r="L1095">
        <v>5429.4380539001104</v>
      </c>
      <c r="M1095">
        <v>91.762223924906095</v>
      </c>
      <c r="O1095">
        <v>59.1404681696662</v>
      </c>
      <c r="P1095">
        <v>-3.0246493365174199E-2</v>
      </c>
      <c r="Q1095">
        <v>0.92202492193928498</v>
      </c>
      <c r="R1095">
        <v>0.13570968008536899</v>
      </c>
      <c r="S1095" t="s">
        <v>2421</v>
      </c>
      <c r="T1095" t="s">
        <v>2650</v>
      </c>
      <c r="U1095" t="s">
        <v>2650</v>
      </c>
      <c r="V1095" t="s">
        <v>2650</v>
      </c>
      <c r="W1095" t="s">
        <v>3744</v>
      </c>
      <c r="X1095">
        <v>2</v>
      </c>
      <c r="Y1095" t="s">
        <v>5054</v>
      </c>
      <c r="Z1095" t="s">
        <v>6375</v>
      </c>
      <c r="AA1095">
        <v>0.97190742079483694</v>
      </c>
      <c r="AB1095" t="str">
        <f>HYPERLINK("Melting_Curves/meltCurve_Q96FE7_4_PIK3IP1.pdf", "Melting_Curves/meltCurve_Q96FE7_4_PIK3IP1.pdf")</f>
        <v>Melting_Curves/meltCurve_Q96FE7_4_PIK3IP1.pdf</v>
      </c>
    </row>
    <row r="1096" spans="1:28" x14ac:dyDescent="0.25">
      <c r="A1096" t="s">
        <v>1100</v>
      </c>
      <c r="B1096">
        <v>1</v>
      </c>
      <c r="C1096">
        <v>0.87681043236598799</v>
      </c>
      <c r="D1096">
        <v>1.4254182031959799</v>
      </c>
      <c r="E1096">
        <v>1.77323499545722</v>
      </c>
      <c r="F1096">
        <v>1.3925498369942799</v>
      </c>
      <c r="G1096">
        <v>1.3859227192560499</v>
      </c>
      <c r="H1096">
        <v>1.35529902196569</v>
      </c>
      <c r="I1096">
        <v>1.5447063224841</v>
      </c>
      <c r="J1096">
        <v>0.89471433915878396</v>
      </c>
      <c r="K1096">
        <v>1.2509753620864701</v>
      </c>
      <c r="L1096">
        <v>11121.289372790699</v>
      </c>
      <c r="M1096">
        <v>250</v>
      </c>
      <c r="O1096">
        <v>44.482311180127603</v>
      </c>
      <c r="P1096">
        <v>0.53091619787227595</v>
      </c>
      <c r="Q1096">
        <v>1.3778620681753899</v>
      </c>
      <c r="R1096">
        <v>0.40006878003769197</v>
      </c>
      <c r="S1096" t="s">
        <v>2422</v>
      </c>
      <c r="T1096" t="s">
        <v>2650</v>
      </c>
      <c r="U1096" t="s">
        <v>2650</v>
      </c>
      <c r="V1096" t="s">
        <v>2650</v>
      </c>
      <c r="W1096" t="s">
        <v>3745</v>
      </c>
      <c r="X1096">
        <v>2</v>
      </c>
      <c r="Y1096" t="s">
        <v>5055</v>
      </c>
      <c r="Z1096" t="s">
        <v>6376</v>
      </c>
      <c r="AA1096">
        <v>1.321340205340138</v>
      </c>
      <c r="AB1096" t="str">
        <f>HYPERLINK("Melting_Curves/meltCurve_Q96GW7_2_BCAN.pdf", "Melting_Curves/meltCurve_Q96GW7_2_BCAN.pdf")</f>
        <v>Melting_Curves/meltCurve_Q96GW7_2_BCAN.pdf</v>
      </c>
    </row>
    <row r="1097" spans="1:28" x14ac:dyDescent="0.25">
      <c r="A1097" t="s">
        <v>1101</v>
      </c>
      <c r="B1097">
        <v>1</v>
      </c>
      <c r="C1097">
        <v>0.80232967628335405</v>
      </c>
      <c r="D1097">
        <v>1.2225111743193799</v>
      </c>
      <c r="E1097">
        <v>1.4504943789787399</v>
      </c>
      <c r="F1097">
        <v>1.1049031558986899</v>
      </c>
      <c r="G1097">
        <v>1.09742652038467</v>
      </c>
      <c r="H1097">
        <v>1.04897738046864</v>
      </c>
      <c r="I1097">
        <v>1.16055803873764</v>
      </c>
      <c r="J1097">
        <v>0.707138019775159</v>
      </c>
      <c r="K1097">
        <v>1.0307327644588899</v>
      </c>
      <c r="L1097">
        <v>1433.8043998819401</v>
      </c>
      <c r="M1097">
        <v>21.256343158330701</v>
      </c>
      <c r="O1097">
        <v>66.8645256118117</v>
      </c>
      <c r="P1097">
        <v>-7.3858687459775899E-3</v>
      </c>
      <c r="Q1097">
        <v>0.90706962590539897</v>
      </c>
      <c r="R1097">
        <v>-8.4410391623578301E-2</v>
      </c>
      <c r="S1097" t="s">
        <v>2423</v>
      </c>
      <c r="T1097" t="s">
        <v>2650</v>
      </c>
      <c r="U1097" t="s">
        <v>2650</v>
      </c>
      <c r="V1097" t="s">
        <v>2650</v>
      </c>
      <c r="W1097" t="s">
        <v>3746</v>
      </c>
      <c r="X1097">
        <v>5</v>
      </c>
      <c r="Y1097" t="s">
        <v>5056</v>
      </c>
      <c r="Z1097" t="s">
        <v>6377</v>
      </c>
      <c r="AA1097">
        <v>0.98914993647366811</v>
      </c>
      <c r="AB1097" t="str">
        <f>HYPERLINK("Melting_Curves/meltCurve_Q96HC4_PDLIM5.pdf", "Melting_Curves/meltCurve_Q96HC4_PDLIM5.pdf")</f>
        <v>Melting_Curves/meltCurve_Q96HC4_PDLIM5.pdf</v>
      </c>
    </row>
    <row r="1098" spans="1:28" x14ac:dyDescent="0.25">
      <c r="A1098" t="s">
        <v>1102</v>
      </c>
      <c r="B1098">
        <v>1</v>
      </c>
      <c r="C1098">
        <v>0.820906789821928</v>
      </c>
      <c r="D1098">
        <v>1.20162973489054</v>
      </c>
      <c r="E1098">
        <v>1.3192637328478201</v>
      </c>
      <c r="F1098">
        <v>1.0071495181846399</v>
      </c>
      <c r="G1098">
        <v>1.0492695057507</v>
      </c>
      <c r="H1098">
        <v>1.0026866201874001</v>
      </c>
      <c r="I1098">
        <v>1.1936808916914601</v>
      </c>
      <c r="J1098">
        <v>0.77623340290421405</v>
      </c>
      <c r="K1098">
        <v>1.0661441449442699</v>
      </c>
      <c r="L1098">
        <v>15000</v>
      </c>
      <c r="M1098">
        <v>212.404485797756</v>
      </c>
      <c r="Q1098">
        <v>1.5</v>
      </c>
      <c r="R1098">
        <v>-5.8882082538034501E-2</v>
      </c>
      <c r="S1098" t="s">
        <v>2424</v>
      </c>
      <c r="T1098" t="s">
        <v>2650</v>
      </c>
      <c r="U1098" t="s">
        <v>2650</v>
      </c>
      <c r="V1098" t="s">
        <v>2650</v>
      </c>
      <c r="W1098" t="s">
        <v>3747</v>
      </c>
      <c r="X1098">
        <v>2</v>
      </c>
      <c r="Y1098" t="s">
        <v>5057</v>
      </c>
      <c r="Z1098" t="s">
        <v>6378</v>
      </c>
      <c r="AA1098">
        <v>1.000764926481188</v>
      </c>
      <c r="AB1098" t="str">
        <f>HYPERLINK("Melting_Curves/meltCurve_Q96HD1_CRELD1.pdf", "Melting_Curves/meltCurve_Q96HD1_CRELD1.pdf")</f>
        <v>Melting_Curves/meltCurve_Q96HD1_CRELD1.pdf</v>
      </c>
    </row>
    <row r="1099" spans="1:28" x14ac:dyDescent="0.25">
      <c r="A1099" t="s">
        <v>1103</v>
      </c>
      <c r="B1099">
        <v>1</v>
      </c>
      <c r="C1099">
        <v>1.0825170673790401</v>
      </c>
      <c r="D1099">
        <v>1.4123627189076899</v>
      </c>
      <c r="E1099">
        <v>2.0823686553873602</v>
      </c>
      <c r="F1099">
        <v>1.64581478183437</v>
      </c>
      <c r="G1099">
        <v>1.73382309290591</v>
      </c>
      <c r="H1099">
        <v>1.6289700207776801</v>
      </c>
      <c r="I1099">
        <v>2.0785099436034402</v>
      </c>
      <c r="J1099">
        <v>1.45013357079252</v>
      </c>
      <c r="K1099">
        <v>1.8152270703472799</v>
      </c>
      <c r="L1099">
        <v>2394.4221100168902</v>
      </c>
      <c r="M1099">
        <v>54.004493746987997</v>
      </c>
      <c r="O1099">
        <v>44.276783207815797</v>
      </c>
      <c r="P1099">
        <v>0.15246285872710699</v>
      </c>
      <c r="Q1099">
        <v>1.5</v>
      </c>
      <c r="R1099">
        <v>0.28294011128212398</v>
      </c>
      <c r="S1099" t="s">
        <v>2425</v>
      </c>
      <c r="T1099" t="s">
        <v>2650</v>
      </c>
      <c r="U1099" t="s">
        <v>2650</v>
      </c>
      <c r="V1099" t="s">
        <v>2650</v>
      </c>
      <c r="W1099" t="s">
        <v>3748</v>
      </c>
      <c r="X1099">
        <v>3</v>
      </c>
      <c r="Y1099" t="s">
        <v>5058</v>
      </c>
      <c r="Z1099" t="s">
        <v>6379</v>
      </c>
      <c r="AA1099">
        <v>1.426840616440648</v>
      </c>
      <c r="AB1099" t="str">
        <f>HYPERLINK("Melting_Curves/meltCurve_Q96JA1_2_LRIG1.pdf", "Melting_Curves/meltCurve_Q96JA1_2_LRIG1.pdf")</f>
        <v>Melting_Curves/meltCurve_Q96JA1_2_LRIG1.pdf</v>
      </c>
    </row>
    <row r="1100" spans="1:28" x14ac:dyDescent="0.25">
      <c r="A1100" t="s">
        <v>1104</v>
      </c>
      <c r="B1100">
        <v>1</v>
      </c>
      <c r="C1100">
        <v>0.78648343759614403</v>
      </c>
      <c r="D1100">
        <v>1.09347759204184</v>
      </c>
      <c r="E1100">
        <v>1.2774587221823399</v>
      </c>
      <c r="F1100">
        <v>0.942877653573992</v>
      </c>
      <c r="G1100">
        <v>1.0441493180186601</v>
      </c>
      <c r="H1100">
        <v>1.01420367141832</v>
      </c>
      <c r="I1100">
        <v>1.08311968003282</v>
      </c>
      <c r="J1100">
        <v>0.75223054045738902</v>
      </c>
      <c r="K1100">
        <v>1.0546097836119399</v>
      </c>
      <c r="L1100">
        <v>2726.2646110720102</v>
      </c>
      <c r="M1100">
        <v>42.034586655922297</v>
      </c>
      <c r="O1100">
        <v>64.711376664165599</v>
      </c>
      <c r="P1100">
        <v>-1.1506089083311299E-2</v>
      </c>
      <c r="Q1100">
        <v>0.92914657608663898</v>
      </c>
      <c r="R1100">
        <v>3.5400216101544597E-2</v>
      </c>
      <c r="S1100" t="s">
        <v>2426</v>
      </c>
      <c r="T1100" t="s">
        <v>2650</v>
      </c>
      <c r="U1100" t="s">
        <v>2650</v>
      </c>
      <c r="V1100" t="s">
        <v>2650</v>
      </c>
      <c r="W1100" t="s">
        <v>3749</v>
      </c>
      <c r="X1100">
        <v>1</v>
      </c>
      <c r="Y1100" t="s">
        <v>5059</v>
      </c>
      <c r="Z1100" t="s">
        <v>6380</v>
      </c>
      <c r="AA1100">
        <v>0.98794243917551983</v>
      </c>
      <c r="AB1100" t="str">
        <f>HYPERLINK("Melting_Curves/meltCurve_Q96JB6_LOXL4.pdf", "Melting_Curves/meltCurve_Q96JB6_LOXL4.pdf")</f>
        <v>Melting_Curves/meltCurve_Q96JB6_LOXL4.pdf</v>
      </c>
    </row>
    <row r="1101" spans="1:28" x14ac:dyDescent="0.25">
      <c r="A1101" t="s">
        <v>1105</v>
      </c>
      <c r="B1101">
        <v>1</v>
      </c>
      <c r="C1101">
        <v>0.71969429587598099</v>
      </c>
      <c r="D1101">
        <v>1.2598620801998199</v>
      </c>
      <c r="E1101">
        <v>1.66453995058779</v>
      </c>
      <c r="F1101">
        <v>1.26746395894985</v>
      </c>
      <c r="G1101">
        <v>1.0191675942768701</v>
      </c>
      <c r="H1101">
        <v>1.28056362501018</v>
      </c>
      <c r="I1101">
        <v>1.3847636630195701</v>
      </c>
      <c r="J1101">
        <v>0.85777699345695402</v>
      </c>
      <c r="K1101">
        <v>1.16273450438465</v>
      </c>
      <c r="L1101">
        <v>11156.1754253418</v>
      </c>
      <c r="M1101">
        <v>250</v>
      </c>
      <c r="O1101">
        <v>44.621851875508398</v>
      </c>
      <c r="P1101">
        <v>0.33212812560836502</v>
      </c>
      <c r="Q1101">
        <v>1.2371227210438001</v>
      </c>
      <c r="R1101">
        <v>0.28049551039061699</v>
      </c>
      <c r="S1101" t="s">
        <v>2427</v>
      </c>
      <c r="T1101" t="s">
        <v>2650</v>
      </c>
      <c r="U1101" t="s">
        <v>2650</v>
      </c>
      <c r="V1101" t="s">
        <v>2650</v>
      </c>
      <c r="W1101" t="s">
        <v>3750</v>
      </c>
      <c r="X1101">
        <v>1</v>
      </c>
      <c r="Y1101" t="s">
        <v>5060</v>
      </c>
      <c r="Z1101" t="s">
        <v>6381</v>
      </c>
      <c r="AA1101">
        <v>1.200550088907316</v>
      </c>
      <c r="AB1101" t="str">
        <f>HYPERLINK("Melting_Curves/meltCurve_Q96K76_4_USP47.pdf", "Melting_Curves/meltCurve_Q96K76_4_USP47.pdf")</f>
        <v>Melting_Curves/meltCurve_Q96K76_4_USP47.pdf</v>
      </c>
    </row>
    <row r="1102" spans="1:28" x14ac:dyDescent="0.25">
      <c r="A1102" t="s">
        <v>1106</v>
      </c>
      <c r="B1102">
        <v>1</v>
      </c>
      <c r="C1102">
        <v>0.760103693000722</v>
      </c>
      <c r="D1102">
        <v>1.1737282733415499</v>
      </c>
      <c r="E1102">
        <v>1.2806510560537201</v>
      </c>
      <c r="F1102">
        <v>0.95321065828056595</v>
      </c>
      <c r="G1102">
        <v>1.13029620500616</v>
      </c>
      <c r="H1102">
        <v>0.98189622200501503</v>
      </c>
      <c r="I1102">
        <v>1.0890314903744001</v>
      </c>
      <c r="J1102">
        <v>0.68352386213930605</v>
      </c>
      <c r="K1102">
        <v>0.98542348391483603</v>
      </c>
      <c r="L1102">
        <v>15000</v>
      </c>
      <c r="M1102">
        <v>229.39123461066799</v>
      </c>
      <c r="O1102">
        <v>65.385503141225499</v>
      </c>
      <c r="P1102">
        <v>-0.14493326267353701</v>
      </c>
      <c r="Q1102">
        <v>0.83475334753206998</v>
      </c>
      <c r="R1102">
        <v>0.184438040476777</v>
      </c>
      <c r="S1102" t="s">
        <v>2428</v>
      </c>
      <c r="T1102" t="s">
        <v>2650</v>
      </c>
      <c r="U1102" t="s">
        <v>2650</v>
      </c>
      <c r="V1102" t="s">
        <v>2650</v>
      </c>
      <c r="W1102" t="s">
        <v>3751</v>
      </c>
      <c r="X1102">
        <v>1</v>
      </c>
      <c r="Y1102" t="s">
        <v>5061</v>
      </c>
      <c r="Z1102" t="s">
        <v>6382</v>
      </c>
      <c r="AA1102">
        <v>0.97463219561209014</v>
      </c>
      <c r="AB1102" t="str">
        <f>HYPERLINK("Melting_Curves/meltCurve_Q96KG7_2_MEGF10.pdf", "Melting_Curves/meltCurve_Q96KG7_2_MEGF10.pdf")</f>
        <v>Melting_Curves/meltCurve_Q96KG7_2_MEGF10.pdf</v>
      </c>
    </row>
    <row r="1103" spans="1:28" x14ac:dyDescent="0.25">
      <c r="A1103" t="s">
        <v>1107</v>
      </c>
      <c r="B1103">
        <v>1</v>
      </c>
      <c r="C1103">
        <v>0.68252735876959503</v>
      </c>
      <c r="D1103">
        <v>1.10037710736469</v>
      </c>
      <c r="E1103">
        <v>1.20722419402544</v>
      </c>
      <c r="F1103">
        <v>0.90036231884058004</v>
      </c>
      <c r="G1103">
        <v>0.91322833481218602</v>
      </c>
      <c r="H1103">
        <v>0.93241644483880504</v>
      </c>
      <c r="I1103">
        <v>1.0944616977225701</v>
      </c>
      <c r="J1103">
        <v>0.64111949127477097</v>
      </c>
      <c r="K1103">
        <v>0.97452676722863096</v>
      </c>
      <c r="L1103">
        <v>940.64647848990796</v>
      </c>
      <c r="M1103">
        <v>14.9948469052921</v>
      </c>
      <c r="O1103">
        <v>61.647337817759301</v>
      </c>
      <c r="P1103">
        <v>-9.5080606807072896E-3</v>
      </c>
      <c r="Q1103">
        <v>0.84365636678897404</v>
      </c>
      <c r="R1103">
        <v>4.0648442119719103E-2</v>
      </c>
      <c r="S1103" t="s">
        <v>2429</v>
      </c>
      <c r="T1103" t="s">
        <v>2650</v>
      </c>
      <c r="U1103" t="s">
        <v>2650</v>
      </c>
      <c r="V1103" t="s">
        <v>2650</v>
      </c>
      <c r="W1103" t="s">
        <v>3752</v>
      </c>
      <c r="X1103">
        <v>7</v>
      </c>
      <c r="Y1103" t="s">
        <v>5062</v>
      </c>
      <c r="Z1103" t="s">
        <v>6383</v>
      </c>
      <c r="AA1103">
        <v>0.96096991836340817</v>
      </c>
      <c r="AB1103" t="str">
        <f>HYPERLINK("Melting_Curves/meltCurve_Q96KP4_CNDP2.pdf", "Melting_Curves/meltCurve_Q96KP4_CNDP2.pdf")</f>
        <v>Melting_Curves/meltCurve_Q96KP4_CNDP2.pdf</v>
      </c>
    </row>
    <row r="1104" spans="1:28" x14ac:dyDescent="0.25">
      <c r="A1104" t="s">
        <v>1108</v>
      </c>
      <c r="B1104">
        <v>1</v>
      </c>
      <c r="C1104">
        <v>0.90465675131519097</v>
      </c>
      <c r="D1104">
        <v>1.2012729752549201</v>
      </c>
      <c r="E1104">
        <v>1.4981489900630001</v>
      </c>
      <c r="F1104">
        <v>1.3855296486328501</v>
      </c>
      <c r="G1104">
        <v>1.57199454439176</v>
      </c>
      <c r="H1104">
        <v>1.3813080470221499</v>
      </c>
      <c r="I1104">
        <v>1.6371371046307699</v>
      </c>
      <c r="J1104">
        <v>1.16184971098266</v>
      </c>
      <c r="K1104">
        <v>1.64486588296421</v>
      </c>
      <c r="L1104">
        <v>11513.070872087201</v>
      </c>
      <c r="M1104">
        <v>250</v>
      </c>
      <c r="O1104">
        <v>46.049336313115901</v>
      </c>
      <c r="P1104">
        <v>0.63612556419283095</v>
      </c>
      <c r="Q1104">
        <v>1.4686905615063099</v>
      </c>
      <c r="R1104">
        <v>0.69554108487199395</v>
      </c>
      <c r="S1104" t="s">
        <v>2430</v>
      </c>
      <c r="T1104" t="s">
        <v>2650</v>
      </c>
      <c r="U1104" t="s">
        <v>2650</v>
      </c>
      <c r="V1104" t="s">
        <v>2650</v>
      </c>
      <c r="W1104" t="s">
        <v>3753</v>
      </c>
      <c r="X1104">
        <v>2</v>
      </c>
      <c r="Y1104" t="s">
        <v>5063</v>
      </c>
      <c r="Z1104" t="s">
        <v>6384</v>
      </c>
      <c r="AA1104">
        <v>1.374097743229002</v>
      </c>
      <c r="AB1104" t="str">
        <f>HYPERLINK("Melting_Curves/meltCurve_Q96KR4_2_LMLN.pdf", "Melting_Curves/meltCurve_Q96KR4_2_LMLN.pdf")</f>
        <v>Melting_Curves/meltCurve_Q96KR4_2_LMLN.pdf</v>
      </c>
    </row>
    <row r="1105" spans="1:28" x14ac:dyDescent="0.25">
      <c r="A1105" t="s">
        <v>1109</v>
      </c>
      <c r="B1105">
        <v>1</v>
      </c>
      <c r="C1105">
        <v>0.96632152006831795</v>
      </c>
      <c r="D1105">
        <v>1.8200256191289499</v>
      </c>
      <c r="E1105">
        <v>1.8010781383433001</v>
      </c>
      <c r="F1105">
        <v>1.80417378309137</v>
      </c>
      <c r="G1105">
        <v>1.9903394534585801</v>
      </c>
      <c r="H1105">
        <v>1.6510994876174201</v>
      </c>
      <c r="I1105">
        <v>1.8488471391972701</v>
      </c>
      <c r="J1105">
        <v>1.7010567890691699</v>
      </c>
      <c r="K1105">
        <v>1.7959543125533699</v>
      </c>
      <c r="L1105">
        <v>11050.677502025301</v>
      </c>
      <c r="M1105">
        <v>250</v>
      </c>
      <c r="O1105">
        <v>44.199892884494602</v>
      </c>
      <c r="P1105">
        <v>0.70701547299410905</v>
      </c>
      <c r="Q1105">
        <v>1.5</v>
      </c>
      <c r="R1105">
        <v>0.30047000226771198</v>
      </c>
      <c r="S1105" t="s">
        <v>2431</v>
      </c>
      <c r="T1105" t="s">
        <v>2650</v>
      </c>
      <c r="U1105" t="s">
        <v>2650</v>
      </c>
      <c r="V1105" t="s">
        <v>2650</v>
      </c>
      <c r="W1105" t="s">
        <v>3754</v>
      </c>
      <c r="X1105">
        <v>1</v>
      </c>
      <c r="Y1105" t="s">
        <v>5064</v>
      </c>
      <c r="Z1105" t="s">
        <v>6385</v>
      </c>
      <c r="AA1105">
        <v>1.4299160456642419</v>
      </c>
      <c r="AB1105" t="str">
        <f>HYPERLINK("Melting_Curves/meltCurve_Q96M27_4_PRRC1.pdf", "Melting_Curves/meltCurve_Q96M27_4_PRRC1.pdf")</f>
        <v>Melting_Curves/meltCurve_Q96M27_4_PRRC1.pdf</v>
      </c>
    </row>
    <row r="1106" spans="1:28" x14ac:dyDescent="0.25">
      <c r="A1106" t="s">
        <v>1110</v>
      </c>
      <c r="B1106">
        <v>1</v>
      </c>
      <c r="C1106">
        <v>0.79165239516563102</v>
      </c>
      <c r="D1106">
        <v>1.22141214463962</v>
      </c>
      <c r="E1106">
        <v>1.4469834124382199</v>
      </c>
      <c r="F1106">
        <v>1.1406762244947899</v>
      </c>
      <c r="G1106">
        <v>1.39736751969467</v>
      </c>
      <c r="H1106">
        <v>1.2218035915251799</v>
      </c>
      <c r="I1106">
        <v>1.33365953907129</v>
      </c>
      <c r="J1106">
        <v>0.97362626608601999</v>
      </c>
      <c r="K1106">
        <v>1.2412291432206299</v>
      </c>
      <c r="L1106">
        <v>11407.0491828705</v>
      </c>
      <c r="M1106">
        <v>250</v>
      </c>
      <c r="O1106">
        <v>45.625277154282202</v>
      </c>
      <c r="P1106">
        <v>0.343509835234794</v>
      </c>
      <c r="Q1106">
        <v>1.2507637009263499</v>
      </c>
      <c r="R1106">
        <v>0.46859213010613898</v>
      </c>
      <c r="S1106" t="s">
        <v>2432</v>
      </c>
      <c r="T1106" t="s">
        <v>2650</v>
      </c>
      <c r="U1106" t="s">
        <v>2650</v>
      </c>
      <c r="V1106" t="s">
        <v>2650</v>
      </c>
      <c r="W1106" t="s">
        <v>3755</v>
      </c>
      <c r="X1106">
        <v>5</v>
      </c>
      <c r="Y1106" t="s">
        <v>5065</v>
      </c>
      <c r="Z1106" t="s">
        <v>6386</v>
      </c>
      <c r="AA1106">
        <v>1.203698705846926</v>
      </c>
      <c r="AB1106" t="str">
        <f>HYPERLINK("Melting_Curves/meltCurve_Q96N03_VSTM2L.pdf", "Melting_Curves/meltCurve_Q96N03_VSTM2L.pdf")</f>
        <v>Melting_Curves/meltCurve_Q96N03_VSTM2L.pdf</v>
      </c>
    </row>
    <row r="1107" spans="1:28" x14ac:dyDescent="0.25">
      <c r="A1107" t="s">
        <v>1111</v>
      </c>
      <c r="B1107">
        <v>1</v>
      </c>
      <c r="C1107">
        <v>0.71822898945219504</v>
      </c>
      <c r="D1107">
        <v>1.1498383804015</v>
      </c>
      <c r="E1107">
        <v>1.3382953385505301</v>
      </c>
      <c r="F1107">
        <v>0.92714358625382798</v>
      </c>
      <c r="G1107">
        <v>0.93114154474310995</v>
      </c>
      <c r="H1107">
        <v>0.92420891459680199</v>
      </c>
      <c r="I1107">
        <v>1.0338125212657401</v>
      </c>
      <c r="J1107">
        <v>0.68624532153793805</v>
      </c>
      <c r="K1107">
        <v>0.88001871384824804</v>
      </c>
      <c r="L1107">
        <v>15000</v>
      </c>
      <c r="M1107">
        <v>229.63602871914799</v>
      </c>
      <c r="O1107">
        <v>65.315805477418806</v>
      </c>
      <c r="P1107">
        <v>-0.19064458428089501</v>
      </c>
      <c r="Q1107">
        <v>0.78309841447184703</v>
      </c>
      <c r="R1107">
        <v>0.23362619548149899</v>
      </c>
      <c r="S1107" t="s">
        <v>2433</v>
      </c>
      <c r="T1107" t="s">
        <v>2650</v>
      </c>
      <c r="U1107" t="s">
        <v>2650</v>
      </c>
      <c r="V1107" t="s">
        <v>2650</v>
      </c>
      <c r="W1107" t="s">
        <v>3756</v>
      </c>
      <c r="X1107">
        <v>2</v>
      </c>
      <c r="Y1107" t="s">
        <v>5066</v>
      </c>
      <c r="Z1107" t="s">
        <v>6387</v>
      </c>
      <c r="AA1107">
        <v>0.96619832121077709</v>
      </c>
      <c r="AB1107" t="str">
        <f>HYPERLINK("Melting_Curves/meltCurve_Q96NY8_NECTIN4.pdf", "Melting_Curves/meltCurve_Q96NY8_NECTIN4.pdf")</f>
        <v>Melting_Curves/meltCurve_Q96NY8_NECTIN4.pdf</v>
      </c>
    </row>
    <row r="1108" spans="1:28" x14ac:dyDescent="0.25">
      <c r="A1108" t="s">
        <v>1112</v>
      </c>
      <c r="B1108">
        <v>1</v>
      </c>
      <c r="C1108">
        <v>0.80444716442268505</v>
      </c>
      <c r="D1108">
        <v>1.3499796001632001</v>
      </c>
      <c r="E1108">
        <v>1.6855569155446799</v>
      </c>
      <c r="F1108">
        <v>1.64773561811506</v>
      </c>
      <c r="G1108">
        <v>2.1601795185638499</v>
      </c>
      <c r="H1108">
        <v>2.1035087719298202</v>
      </c>
      <c r="I1108">
        <v>2.3827417380661</v>
      </c>
      <c r="J1108">
        <v>1.5658914728682201</v>
      </c>
      <c r="K1108">
        <v>2.3218686250510001</v>
      </c>
      <c r="L1108">
        <v>11461.0332502414</v>
      </c>
      <c r="M1108">
        <v>250</v>
      </c>
      <c r="O1108">
        <v>45.841220852473299</v>
      </c>
      <c r="P1108">
        <v>0.68170118624817</v>
      </c>
      <c r="Q1108">
        <v>1.5</v>
      </c>
      <c r="R1108">
        <v>0.11613400338714</v>
      </c>
      <c r="S1108" t="s">
        <v>2434</v>
      </c>
      <c r="T1108" t="s">
        <v>2650</v>
      </c>
      <c r="U1108" t="s">
        <v>2650</v>
      </c>
      <c r="V1108" t="s">
        <v>2650</v>
      </c>
      <c r="W1108" t="s">
        <v>3757</v>
      </c>
      <c r="X1108">
        <v>2</v>
      </c>
      <c r="Y1108" t="s">
        <v>5067</v>
      </c>
      <c r="Z1108" t="s">
        <v>6388</v>
      </c>
      <c r="AA1108">
        <v>1.402557555447278</v>
      </c>
      <c r="AB1108" t="str">
        <f>HYPERLINK("Melting_Curves/meltCurve_Q96PD2_DCBLD2.pdf", "Melting_Curves/meltCurve_Q96PD2_DCBLD2.pdf")</f>
        <v>Melting_Curves/meltCurve_Q96PD2_DCBLD2.pdf</v>
      </c>
    </row>
    <row r="1109" spans="1:28" x14ac:dyDescent="0.25">
      <c r="A1109" t="s">
        <v>1113</v>
      </c>
      <c r="B1109">
        <v>1</v>
      </c>
      <c r="C1109">
        <v>0.91411443722860497</v>
      </c>
      <c r="D1109">
        <v>1.41991699650309</v>
      </c>
      <c r="E1109">
        <v>1.77179802482419</v>
      </c>
      <c r="F1109">
        <v>1.4797294700841599</v>
      </c>
      <c r="G1109">
        <v>1.5188294969834399</v>
      </c>
      <c r="H1109">
        <v>1.4090612150789701</v>
      </c>
      <c r="I1109">
        <v>1.6665065518964</v>
      </c>
      <c r="J1109">
        <v>1.1941935979710301</v>
      </c>
      <c r="K1109">
        <v>1.5439995388694601</v>
      </c>
      <c r="L1109">
        <v>11423.778341352699</v>
      </c>
      <c r="M1109">
        <v>250</v>
      </c>
      <c r="O1109">
        <v>45.692189228528498</v>
      </c>
      <c r="P1109">
        <v>0.68392433360265104</v>
      </c>
      <c r="Q1109">
        <v>1.5</v>
      </c>
      <c r="R1109">
        <v>0.69005840043906996</v>
      </c>
      <c r="S1109" t="s">
        <v>2435</v>
      </c>
      <c r="T1109" t="s">
        <v>2650</v>
      </c>
      <c r="U1109" t="s">
        <v>2650</v>
      </c>
      <c r="V1109" t="s">
        <v>2650</v>
      </c>
      <c r="W1109" t="s">
        <v>3758</v>
      </c>
      <c r="X1109">
        <v>9</v>
      </c>
      <c r="Y1109" t="s">
        <v>5068</v>
      </c>
      <c r="Z1109" t="s">
        <v>6389</v>
      </c>
      <c r="AA1109">
        <v>1.4050413468034291</v>
      </c>
      <c r="AB1109" t="str">
        <f>HYPERLINK("Melting_Curves/meltCurve_Q96S96_PEBP4.pdf", "Melting_Curves/meltCurve_Q96S96_PEBP4.pdf")</f>
        <v>Melting_Curves/meltCurve_Q96S96_PEBP4.pdf</v>
      </c>
    </row>
    <row r="1110" spans="1:28" x14ac:dyDescent="0.25">
      <c r="A1110" t="s">
        <v>1114</v>
      </c>
      <c r="B1110">
        <v>1</v>
      </c>
      <c r="C1110">
        <v>0.85320430488507004</v>
      </c>
      <c r="D1110">
        <v>1.2187652243234901</v>
      </c>
      <c r="E1110">
        <v>1.2043713184817799</v>
      </c>
      <c r="F1110">
        <v>1.14376190265291</v>
      </c>
      <c r="G1110">
        <v>1.0575534788963199</v>
      </c>
      <c r="H1110">
        <v>1.1084414721644</v>
      </c>
      <c r="I1110">
        <v>1.2640063776075099</v>
      </c>
      <c r="J1110">
        <v>0.70474777448071202</v>
      </c>
      <c r="K1110">
        <v>1.3009212099738701</v>
      </c>
      <c r="L1110">
        <v>11110.4456872478</v>
      </c>
      <c r="M1110">
        <v>250</v>
      </c>
      <c r="O1110">
        <v>44.438938743819499</v>
      </c>
      <c r="P1110">
        <v>0.17625256516157101</v>
      </c>
      <c r="Q1110">
        <v>1.12531963107251</v>
      </c>
      <c r="R1110">
        <v>0.16318187109050999</v>
      </c>
      <c r="S1110" t="s">
        <v>2436</v>
      </c>
      <c r="T1110" t="s">
        <v>2650</v>
      </c>
      <c r="U1110" t="s">
        <v>2650</v>
      </c>
      <c r="V1110" t="s">
        <v>2650</v>
      </c>
      <c r="W1110" t="s">
        <v>3759</v>
      </c>
      <c r="X1110">
        <v>1</v>
      </c>
      <c r="Y1110" t="s">
        <v>5069</v>
      </c>
      <c r="Z1110" t="s">
        <v>6390</v>
      </c>
      <c r="AA1110">
        <v>1.1067551042997741</v>
      </c>
      <c r="AB1110" t="str">
        <f>HYPERLINK("Melting_Curves/meltCurve_Q96TA1_2_FAM129B.pdf", "Melting_Curves/meltCurve_Q96TA1_2_FAM129B.pdf")</f>
        <v>Melting_Curves/meltCurve_Q96TA1_2_FAM129B.pdf</v>
      </c>
    </row>
    <row r="1111" spans="1:28" x14ac:dyDescent="0.25">
      <c r="A1111" t="s">
        <v>1115</v>
      </c>
      <c r="B1111">
        <v>1</v>
      </c>
      <c r="C1111">
        <v>0.83270090677498099</v>
      </c>
      <c r="D1111">
        <v>1.20358790729161</v>
      </c>
      <c r="E1111">
        <v>1.25060125060125</v>
      </c>
      <c r="F1111">
        <v>1.2651025243617799</v>
      </c>
      <c r="G1111">
        <v>1.1775426219870699</v>
      </c>
      <c r="H1111">
        <v>1.0204336130262099</v>
      </c>
      <c r="I1111">
        <v>1.4725740651666599</v>
      </c>
      <c r="J1111">
        <v>0.89401956068622701</v>
      </c>
      <c r="K1111">
        <v>1.24199668644113</v>
      </c>
      <c r="L1111">
        <v>11157.325090524</v>
      </c>
      <c r="M1111">
        <v>250</v>
      </c>
      <c r="O1111">
        <v>44.626454493331003</v>
      </c>
      <c r="P1111">
        <v>0.267140263134031</v>
      </c>
      <c r="Q1111">
        <v>1.1907443214520701</v>
      </c>
      <c r="R1111">
        <v>0.31036136966050898</v>
      </c>
      <c r="S1111" t="s">
        <v>2437</v>
      </c>
      <c r="T1111" t="s">
        <v>2650</v>
      </c>
      <c r="U1111" t="s">
        <v>2650</v>
      </c>
      <c r="V1111" t="s">
        <v>2650</v>
      </c>
      <c r="W1111" t="s">
        <v>3760</v>
      </c>
      <c r="X1111">
        <v>2</v>
      </c>
      <c r="Y1111" t="s">
        <v>5070</v>
      </c>
      <c r="Z1111" t="s">
        <v>6391</v>
      </c>
      <c r="AA1111">
        <v>1.1612956231002769</v>
      </c>
      <c r="AB1111" t="str">
        <f>HYPERLINK("Melting_Curves/meltCurve_Q99460_2_PSMD1.pdf", "Melting_Curves/meltCurve_Q99460_2_PSMD1.pdf")</f>
        <v>Melting_Curves/meltCurve_Q99460_2_PSMD1.pdf</v>
      </c>
    </row>
    <row r="1112" spans="1:28" x14ac:dyDescent="0.25">
      <c r="A1112" t="s">
        <v>1116</v>
      </c>
      <c r="B1112">
        <v>1</v>
      </c>
      <c r="C1112">
        <v>0.86146991353449798</v>
      </c>
      <c r="D1112">
        <v>1.17672489853538</v>
      </c>
      <c r="E1112">
        <v>1.3508028939474099</v>
      </c>
      <c r="F1112">
        <v>1.1776954296806099</v>
      </c>
      <c r="G1112">
        <v>1.26751367566614</v>
      </c>
      <c r="H1112">
        <v>1.0866419622375201</v>
      </c>
      <c r="I1112">
        <v>1.3002470442915099</v>
      </c>
      <c r="J1112">
        <v>0.953855655549674</v>
      </c>
      <c r="K1112">
        <v>1.1635786130227601</v>
      </c>
      <c r="L1112">
        <v>11363.2378254048</v>
      </c>
      <c r="M1112">
        <v>250</v>
      </c>
      <c r="O1112">
        <v>45.450021273721397</v>
      </c>
      <c r="P1112">
        <v>0.255448503038121</v>
      </c>
      <c r="Q1112">
        <v>1.1857623260039101</v>
      </c>
      <c r="R1112">
        <v>0.41793926012599802</v>
      </c>
      <c r="S1112" t="s">
        <v>2438</v>
      </c>
      <c r="T1112" t="s">
        <v>2650</v>
      </c>
      <c r="U1112" t="s">
        <v>2650</v>
      </c>
      <c r="V1112" t="s">
        <v>2650</v>
      </c>
      <c r="W1112" t="s">
        <v>3761</v>
      </c>
      <c r="X1112">
        <v>17</v>
      </c>
      <c r="Y1112" t="s">
        <v>5071</v>
      </c>
      <c r="Z1112" t="s">
        <v>6392</v>
      </c>
      <c r="AA1112">
        <v>1.1519824106418359</v>
      </c>
      <c r="AB1112" t="str">
        <f>HYPERLINK("Melting_Curves/meltCurve_Q99497_PARK7.pdf", "Melting_Curves/meltCurve_Q99497_PARK7.pdf")</f>
        <v>Melting_Curves/meltCurve_Q99497_PARK7.pdf</v>
      </c>
    </row>
    <row r="1113" spans="1:28" x14ac:dyDescent="0.25">
      <c r="A1113" t="s">
        <v>1117</v>
      </c>
      <c r="B1113">
        <v>1</v>
      </c>
      <c r="C1113">
        <v>0.85050043140638498</v>
      </c>
      <c r="D1113">
        <v>1.15409836065574</v>
      </c>
      <c r="E1113">
        <v>1.3639344262295101</v>
      </c>
      <c r="F1113">
        <v>1.14762726488352</v>
      </c>
      <c r="G1113">
        <v>1.17471958584987</v>
      </c>
      <c r="H1113">
        <v>1.10690250215703</v>
      </c>
      <c r="I1113">
        <v>1.4472821397756701</v>
      </c>
      <c r="J1113">
        <v>0.98162208800690298</v>
      </c>
      <c r="K1113">
        <v>1.30957722174288</v>
      </c>
      <c r="L1113">
        <v>11460.087643037699</v>
      </c>
      <c r="M1113">
        <v>250</v>
      </c>
      <c r="O1113">
        <v>45.8374022730071</v>
      </c>
      <c r="P1113">
        <v>0.29834976236528399</v>
      </c>
      <c r="Q1113">
        <v>1.21880932005924</v>
      </c>
      <c r="R1113">
        <v>0.406182136422996</v>
      </c>
      <c r="S1113" t="s">
        <v>2439</v>
      </c>
      <c r="T1113" t="s">
        <v>2650</v>
      </c>
      <c r="U1113" t="s">
        <v>2650</v>
      </c>
      <c r="V1113" t="s">
        <v>2650</v>
      </c>
      <c r="W1113" t="s">
        <v>3762</v>
      </c>
      <c r="X1113">
        <v>6</v>
      </c>
      <c r="Y1113" t="s">
        <v>5072</v>
      </c>
      <c r="Z1113" t="s">
        <v>6393</v>
      </c>
      <c r="AA1113">
        <v>1.176194279125975</v>
      </c>
      <c r="AB1113" t="str">
        <f>HYPERLINK("Melting_Curves/meltCurve_Q99519_NEU1.pdf", "Melting_Curves/meltCurve_Q99519_NEU1.pdf")</f>
        <v>Melting_Curves/meltCurve_Q99519_NEU1.pdf</v>
      </c>
    </row>
    <row r="1114" spans="1:28" x14ac:dyDescent="0.25">
      <c r="A1114" t="s">
        <v>1118</v>
      </c>
      <c r="B1114">
        <v>1</v>
      </c>
      <c r="C1114">
        <v>0.80782201019904598</v>
      </c>
      <c r="D1114">
        <v>1.09109228491528</v>
      </c>
      <c r="E1114">
        <v>1.22754564895542</v>
      </c>
      <c r="F1114">
        <v>1.08426550419477</v>
      </c>
      <c r="G1114">
        <v>1.1571393321269901</v>
      </c>
      <c r="H1114">
        <v>1.00625102812963</v>
      </c>
      <c r="I1114">
        <v>1.34882381970719</v>
      </c>
      <c r="J1114">
        <v>0.82303832867247895</v>
      </c>
      <c r="K1114">
        <v>1.1480917914130599</v>
      </c>
      <c r="L1114">
        <v>11435.678529786701</v>
      </c>
      <c r="M1114">
        <v>250</v>
      </c>
      <c r="O1114">
        <v>45.739786902824797</v>
      </c>
      <c r="P1114">
        <v>0.155217223978835</v>
      </c>
      <c r="Q1114">
        <v>1.1135936438071801</v>
      </c>
      <c r="R1114">
        <v>0.197382132881191</v>
      </c>
      <c r="S1114" t="s">
        <v>2440</v>
      </c>
      <c r="T1114" t="s">
        <v>2650</v>
      </c>
      <c r="U1114" t="s">
        <v>2650</v>
      </c>
      <c r="V1114" t="s">
        <v>2650</v>
      </c>
      <c r="W1114" t="s">
        <v>3763</v>
      </c>
      <c r="X1114">
        <v>3</v>
      </c>
      <c r="Y1114" t="s">
        <v>5073</v>
      </c>
      <c r="Z1114" t="s">
        <v>6394</v>
      </c>
      <c r="AA1114">
        <v>1.0918399973603241</v>
      </c>
      <c r="AB1114" t="str">
        <f>HYPERLINK("Melting_Curves/meltCurve_Q99523_SORT1.pdf", "Melting_Curves/meltCurve_Q99523_SORT1.pdf")</f>
        <v>Melting_Curves/meltCurve_Q99523_SORT1.pdf</v>
      </c>
    </row>
    <row r="1115" spans="1:28" x14ac:dyDescent="0.25">
      <c r="A1115" t="s">
        <v>1119</v>
      </c>
      <c r="B1115">
        <v>1</v>
      </c>
      <c r="C1115">
        <v>0.84108158699053803</v>
      </c>
      <c r="D1115">
        <v>1.42663897866366</v>
      </c>
      <c r="E1115">
        <v>2.1794065603018402</v>
      </c>
      <c r="F1115">
        <v>1.84832043988827</v>
      </c>
      <c r="G1115">
        <v>1.8872201342478201</v>
      </c>
      <c r="H1115">
        <v>1.68848071832819</v>
      </c>
      <c r="I1115">
        <v>2.1279302730290599</v>
      </c>
      <c r="J1115">
        <v>1.32421286614703</v>
      </c>
      <c r="K1115">
        <v>1.93182316725406</v>
      </c>
      <c r="L1115">
        <v>11419.0150034376</v>
      </c>
      <c r="M1115">
        <v>250</v>
      </c>
      <c r="O1115">
        <v>45.673137069969002</v>
      </c>
      <c r="P1115">
        <v>0.68420962639790694</v>
      </c>
      <c r="Q1115">
        <v>1.5</v>
      </c>
      <c r="R1115">
        <v>0.26503575645984301</v>
      </c>
      <c r="S1115" t="s">
        <v>2441</v>
      </c>
      <c r="T1115" t="s">
        <v>2650</v>
      </c>
      <c r="U1115" t="s">
        <v>2650</v>
      </c>
      <c r="V1115" t="s">
        <v>2650</v>
      </c>
      <c r="W1115" t="s">
        <v>3764</v>
      </c>
      <c r="X1115">
        <v>4</v>
      </c>
      <c r="Y1115" t="s">
        <v>5074</v>
      </c>
      <c r="Z1115" t="s">
        <v>6395</v>
      </c>
      <c r="AA1115">
        <v>1.4053589193836029</v>
      </c>
      <c r="AB1115" t="str">
        <f>HYPERLINK("Melting_Curves/meltCurve_Q99536_VAT1.pdf", "Melting_Curves/meltCurve_Q99536_VAT1.pdf")</f>
        <v>Melting_Curves/meltCurve_Q99536_VAT1.pdf</v>
      </c>
    </row>
    <row r="1116" spans="1:28" x14ac:dyDescent="0.25">
      <c r="A1116" t="s">
        <v>1120</v>
      </c>
      <c r="B1116">
        <v>1</v>
      </c>
      <c r="C1116">
        <v>0.87926605504587196</v>
      </c>
      <c r="D1116">
        <v>1.2150959132610499</v>
      </c>
      <c r="E1116">
        <v>2.0690575479566302</v>
      </c>
      <c r="F1116">
        <v>2.2026688907422902</v>
      </c>
      <c r="G1116">
        <v>2.3429524603836498</v>
      </c>
      <c r="H1116">
        <v>2.1536280233527898</v>
      </c>
      <c r="I1116">
        <v>2.7080900750625498</v>
      </c>
      <c r="J1116">
        <v>1.9077564637197699</v>
      </c>
      <c r="K1116">
        <v>2.4095079232693899</v>
      </c>
      <c r="L1116">
        <v>11512.929153167201</v>
      </c>
      <c r="M1116">
        <v>250</v>
      </c>
      <c r="O1116">
        <v>46.048769468511097</v>
      </c>
      <c r="P1116">
        <v>0.67862833909505105</v>
      </c>
      <c r="Q1116">
        <v>1.5</v>
      </c>
      <c r="R1116">
        <v>-0.224118314367907</v>
      </c>
      <c r="S1116" t="s">
        <v>2442</v>
      </c>
      <c r="T1116" t="s">
        <v>2650</v>
      </c>
      <c r="U1116" t="s">
        <v>2650</v>
      </c>
      <c r="V1116" t="s">
        <v>2650</v>
      </c>
      <c r="W1116" t="s">
        <v>3765</v>
      </c>
      <c r="X1116">
        <v>6</v>
      </c>
      <c r="Y1116" t="s">
        <v>5075</v>
      </c>
      <c r="Z1116" t="s">
        <v>6396</v>
      </c>
      <c r="AA1116">
        <v>1.399097646432554</v>
      </c>
      <c r="AB1116" t="str">
        <f>HYPERLINK("Melting_Curves/meltCurve_Q99538_LGMN.pdf", "Melting_Curves/meltCurve_Q99538_LGMN.pdf")</f>
        <v>Melting_Curves/meltCurve_Q99538_LGMN.pdf</v>
      </c>
    </row>
    <row r="1117" spans="1:28" x14ac:dyDescent="0.25">
      <c r="A1117" t="s">
        <v>1121</v>
      </c>
      <c r="B1117">
        <v>1</v>
      </c>
      <c r="C1117">
        <v>0.89951634745598796</v>
      </c>
      <c r="D1117">
        <v>1.1925904430257299</v>
      </c>
      <c r="E1117">
        <v>1.28961114335461</v>
      </c>
      <c r="F1117">
        <v>1.19965177016831</v>
      </c>
      <c r="G1117">
        <v>1.3234668214354799</v>
      </c>
      <c r="H1117">
        <v>1.0887986070806699</v>
      </c>
      <c r="I1117">
        <v>1.3521957825498201</v>
      </c>
      <c r="J1117">
        <v>0.79911007931901701</v>
      </c>
      <c r="K1117">
        <v>1.1991681176243001</v>
      </c>
      <c r="L1117">
        <v>11147.534567340201</v>
      </c>
      <c r="M1117">
        <v>250</v>
      </c>
      <c r="O1117">
        <v>44.587284825083998</v>
      </c>
      <c r="P1117">
        <v>0.253130489891704</v>
      </c>
      <c r="Q1117">
        <v>1.1805824196830701</v>
      </c>
      <c r="R1117">
        <v>0.26133596991385</v>
      </c>
      <c r="S1117" t="s">
        <v>2443</v>
      </c>
      <c r="T1117" t="s">
        <v>2650</v>
      </c>
      <c r="U1117" t="s">
        <v>2650</v>
      </c>
      <c r="V1117" t="s">
        <v>2650</v>
      </c>
      <c r="W1117" t="s">
        <v>3766</v>
      </c>
      <c r="X1117">
        <v>6</v>
      </c>
      <c r="Y1117" t="s">
        <v>5076</v>
      </c>
      <c r="Z1117" t="s">
        <v>6397</v>
      </c>
      <c r="AA1117">
        <v>1.1529383456940201</v>
      </c>
      <c r="AB1117" t="str">
        <f>HYPERLINK("Melting_Curves/meltCurve_Q99574_SERPINI1.pdf", "Melting_Curves/meltCurve_Q99574_SERPINI1.pdf")</f>
        <v>Melting_Curves/meltCurve_Q99574_SERPINI1.pdf</v>
      </c>
    </row>
    <row r="1118" spans="1:28" x14ac:dyDescent="0.25">
      <c r="A1118" t="s">
        <v>1122</v>
      </c>
      <c r="B1118">
        <v>1</v>
      </c>
      <c r="C1118">
        <v>0.70272898795977501</v>
      </c>
      <c r="D1118">
        <v>1.0741670070607501</v>
      </c>
      <c r="E1118">
        <v>1.39370951741845</v>
      </c>
      <c r="F1118">
        <v>0.84324366380735605</v>
      </c>
      <c r="G1118">
        <v>1.17634358405789</v>
      </c>
      <c r="H1118">
        <v>0.904845266577192</v>
      </c>
      <c r="I1118">
        <v>1.19754527241252</v>
      </c>
      <c r="J1118">
        <v>0.64888837019314904</v>
      </c>
      <c r="K1118">
        <v>0.83264281963004005</v>
      </c>
      <c r="L1118">
        <v>15000</v>
      </c>
      <c r="M1118">
        <v>228.747689056551</v>
      </c>
      <c r="O1118">
        <v>65.569420821561494</v>
      </c>
      <c r="P1118">
        <v>-0.226335837354842</v>
      </c>
      <c r="Q1118">
        <v>0.74048769994680397</v>
      </c>
      <c r="R1118">
        <v>0.25774649096747099</v>
      </c>
      <c r="S1118" t="s">
        <v>2444</v>
      </c>
      <c r="T1118" t="s">
        <v>2650</v>
      </c>
      <c r="U1118" t="s">
        <v>2650</v>
      </c>
      <c r="V1118" t="s">
        <v>2650</v>
      </c>
      <c r="W1118" t="s">
        <v>3767</v>
      </c>
      <c r="X1118">
        <v>1</v>
      </c>
      <c r="Y1118" t="s">
        <v>5077</v>
      </c>
      <c r="Z1118" t="s">
        <v>6398</v>
      </c>
      <c r="AA1118">
        <v>0.96175270302549754</v>
      </c>
      <c r="AB1118" t="str">
        <f>HYPERLINK("Melting_Curves/meltCurve_Q99613_2_EIF3C.pdf", "Melting_Curves/meltCurve_Q99613_2_EIF3C.pdf")</f>
        <v>Melting_Curves/meltCurve_Q99613_2_EIF3C.pdf</v>
      </c>
    </row>
    <row r="1119" spans="1:28" x14ac:dyDescent="0.25">
      <c r="A1119" t="s">
        <v>1123</v>
      </c>
      <c r="B1119">
        <v>1</v>
      </c>
      <c r="C1119">
        <v>0.55779867256637194</v>
      </c>
      <c r="D1119">
        <v>1.0040376106194699</v>
      </c>
      <c r="E1119">
        <v>1.35625</v>
      </c>
      <c r="F1119">
        <v>0.96255530973451298</v>
      </c>
      <c r="G1119">
        <v>0.80564159292035398</v>
      </c>
      <c r="H1119">
        <v>0.83036504424778801</v>
      </c>
      <c r="I1119">
        <v>1.04236725663717</v>
      </c>
      <c r="J1119">
        <v>0.55308075221238895</v>
      </c>
      <c r="K1119">
        <v>0.75331858407079599</v>
      </c>
      <c r="L1119">
        <v>868.586618481816</v>
      </c>
      <c r="M1119">
        <v>13.274090758782499</v>
      </c>
      <c r="O1119">
        <v>64.0031450965825</v>
      </c>
      <c r="P1119">
        <v>-2.25771302058232E-2</v>
      </c>
      <c r="Q1119">
        <v>0.56463398073280902</v>
      </c>
      <c r="R1119">
        <v>0.15335316252903899</v>
      </c>
      <c r="S1119" t="s">
        <v>2445</v>
      </c>
      <c r="T1119" t="s">
        <v>2650</v>
      </c>
      <c r="U1119" t="s">
        <v>2650</v>
      </c>
      <c r="V1119" t="s">
        <v>2650</v>
      </c>
      <c r="W1119" t="s">
        <v>3768</v>
      </c>
      <c r="X1119">
        <v>1</v>
      </c>
      <c r="Y1119" t="s">
        <v>5078</v>
      </c>
      <c r="Z1119" t="s">
        <v>6399</v>
      </c>
      <c r="AA1119">
        <v>0.91736131379434638</v>
      </c>
      <c r="AB1119" t="str">
        <f>HYPERLINK("Melting_Curves/meltCurve_Q99674_CGREF1.pdf", "Melting_Curves/meltCurve_Q99674_CGREF1.pdf")</f>
        <v>Melting_Curves/meltCurve_Q99674_CGREF1.pdf</v>
      </c>
    </row>
    <row r="1120" spans="1:28" x14ac:dyDescent="0.25">
      <c r="A1120" t="s">
        <v>1124</v>
      </c>
      <c r="B1120">
        <v>1</v>
      </c>
      <c r="C1120">
        <v>0.89365596054708796</v>
      </c>
      <c r="D1120">
        <v>1.2684446555554001</v>
      </c>
      <c r="E1120">
        <v>1.6587267215244701</v>
      </c>
      <c r="F1120">
        <v>1.42667542156219</v>
      </c>
      <c r="G1120">
        <v>1.6880649352463699</v>
      </c>
      <c r="H1120">
        <v>1.5633076740384799</v>
      </c>
      <c r="I1120">
        <v>1.81589572360609</v>
      </c>
      <c r="J1120">
        <v>1.3077019796309</v>
      </c>
      <c r="K1120">
        <v>1.7957780913396399</v>
      </c>
      <c r="L1120">
        <v>11493.200013138699</v>
      </c>
      <c r="M1120">
        <v>250</v>
      </c>
      <c r="O1120">
        <v>45.969858135588503</v>
      </c>
      <c r="P1120">
        <v>0.67979326735830803</v>
      </c>
      <c r="Q1120">
        <v>1.5</v>
      </c>
      <c r="R1120">
        <v>0.67206943197014801</v>
      </c>
      <c r="S1120" t="s">
        <v>2446</v>
      </c>
      <c r="T1120" t="s">
        <v>2650</v>
      </c>
      <c r="U1120" t="s">
        <v>2650</v>
      </c>
      <c r="V1120" t="s">
        <v>2650</v>
      </c>
      <c r="W1120" t="s">
        <v>3769</v>
      </c>
      <c r="X1120">
        <v>5</v>
      </c>
      <c r="Y1120" t="s">
        <v>5079</v>
      </c>
      <c r="Z1120" t="s">
        <v>6400</v>
      </c>
      <c r="AA1120">
        <v>1.4004129916831209</v>
      </c>
      <c r="AB1120" t="str">
        <f>HYPERLINK("Melting_Curves/meltCurve_Q99715_4_COL12A1.pdf", "Melting_Curves/meltCurve_Q99715_4_COL12A1.pdf")</f>
        <v>Melting_Curves/meltCurve_Q99715_4_COL12A1.pdf</v>
      </c>
    </row>
    <row r="1121" spans="1:28" x14ac:dyDescent="0.25">
      <c r="A1121" t="s">
        <v>1125</v>
      </c>
      <c r="B1121">
        <v>1</v>
      </c>
      <c r="C1121">
        <v>0.80096087851750197</v>
      </c>
      <c r="D1121">
        <v>1.20482400235317</v>
      </c>
      <c r="E1121">
        <v>1.4216589861751201</v>
      </c>
      <c r="F1121">
        <v>1.0986371212863999</v>
      </c>
      <c r="G1121">
        <v>1.1030983429748</v>
      </c>
      <c r="H1121">
        <v>1.08662613981763</v>
      </c>
      <c r="I1121">
        <v>1.23610157858614</v>
      </c>
      <c r="J1121">
        <v>0.852387488969507</v>
      </c>
      <c r="K1121">
        <v>1.1003039513677799</v>
      </c>
      <c r="L1121">
        <v>11124.4952352451</v>
      </c>
      <c r="M1121">
        <v>250</v>
      </c>
      <c r="O1121">
        <v>44.495133394418303</v>
      </c>
      <c r="P1121">
        <v>0.19377819317539999</v>
      </c>
      <c r="Q1121">
        <v>1.13795498461647</v>
      </c>
      <c r="R1121">
        <v>0.24031965953057199</v>
      </c>
      <c r="S1121" t="s">
        <v>2447</v>
      </c>
      <c r="T1121" t="s">
        <v>2650</v>
      </c>
      <c r="U1121" t="s">
        <v>2650</v>
      </c>
      <c r="V1121" t="s">
        <v>2650</v>
      </c>
      <c r="W1121" t="s">
        <v>3770</v>
      </c>
      <c r="X1121">
        <v>1</v>
      </c>
      <c r="Y1121" t="s">
        <v>5080</v>
      </c>
      <c r="Z1121" t="s">
        <v>6401</v>
      </c>
      <c r="AA1121">
        <v>1.11726024821083</v>
      </c>
      <c r="AB1121" t="str">
        <f>HYPERLINK("Melting_Curves/meltCurve_Q99727_TIMP4.pdf", "Melting_Curves/meltCurve_Q99727_TIMP4.pdf")</f>
        <v>Melting_Curves/meltCurve_Q99727_TIMP4.pdf</v>
      </c>
    </row>
    <row r="1122" spans="1:28" x14ac:dyDescent="0.25">
      <c r="A1122" t="s">
        <v>1126</v>
      </c>
      <c r="B1122">
        <v>1</v>
      </c>
      <c r="C1122">
        <v>0.54005068518866195</v>
      </c>
      <c r="D1122">
        <v>0.96508353669983105</v>
      </c>
      <c r="E1122">
        <v>1.0398911207058401</v>
      </c>
      <c r="F1122">
        <v>0.63530129528815504</v>
      </c>
      <c r="G1122">
        <v>0.79584193730054398</v>
      </c>
      <c r="H1122">
        <v>0.73005443964708105</v>
      </c>
      <c r="I1122">
        <v>0.79958700957386897</v>
      </c>
      <c r="J1122">
        <v>0.40143608034541001</v>
      </c>
      <c r="K1122">
        <v>0.54827294912708802</v>
      </c>
      <c r="L1122">
        <v>217.26797805346399</v>
      </c>
      <c r="M1122">
        <v>2.8258165056159998</v>
      </c>
      <c r="O1122">
        <v>55.093941163162199</v>
      </c>
      <c r="P1122">
        <v>-1.3292248689902701E-2</v>
      </c>
      <c r="Q1122">
        <v>0</v>
      </c>
      <c r="R1122">
        <v>0.30471793769467198</v>
      </c>
      <c r="S1122" t="s">
        <v>2448</v>
      </c>
      <c r="T1122" t="s">
        <v>2650</v>
      </c>
      <c r="U1122" t="s">
        <v>2650</v>
      </c>
      <c r="V1122" t="s">
        <v>2650</v>
      </c>
      <c r="W1122" t="s">
        <v>3771</v>
      </c>
      <c r="X1122">
        <v>2</v>
      </c>
      <c r="Y1122" t="s">
        <v>5081</v>
      </c>
      <c r="Z1122" t="s">
        <v>6402</v>
      </c>
      <c r="AA1122">
        <v>0.75379283200126557</v>
      </c>
      <c r="AB1122" t="str">
        <f>HYPERLINK("Melting_Curves/meltCurve_Q99733_NAP1L4.pdf", "Melting_Curves/meltCurve_Q99733_NAP1L4.pdf")</f>
        <v>Melting_Curves/meltCurve_Q99733_NAP1L4.pdf</v>
      </c>
    </row>
    <row r="1123" spans="1:28" x14ac:dyDescent="0.25">
      <c r="A1123" t="s">
        <v>1127</v>
      </c>
      <c r="B1123">
        <v>1</v>
      </c>
      <c r="C1123">
        <v>0.79564913506902002</v>
      </c>
      <c r="D1123">
        <v>1.1591385636903699</v>
      </c>
      <c r="E1123">
        <v>1.48436134894286</v>
      </c>
      <c r="F1123">
        <v>1.22732832430543</v>
      </c>
      <c r="G1123">
        <v>1.3276690546915999</v>
      </c>
      <c r="H1123">
        <v>1.2021666957889201</v>
      </c>
      <c r="I1123">
        <v>1.4935567010309301</v>
      </c>
      <c r="J1123">
        <v>0.98134719552682204</v>
      </c>
      <c r="K1123">
        <v>1.3389830508474601</v>
      </c>
      <c r="L1123">
        <v>11492.259485516501</v>
      </c>
      <c r="M1123">
        <v>250</v>
      </c>
      <c r="O1123">
        <v>45.966096304018301</v>
      </c>
      <c r="P1123">
        <v>0.39924852731451099</v>
      </c>
      <c r="Q1123">
        <v>1.2936303392661299</v>
      </c>
      <c r="R1123">
        <v>0.492506237674667</v>
      </c>
      <c r="S1123" t="s">
        <v>2449</v>
      </c>
      <c r="T1123" t="s">
        <v>2650</v>
      </c>
      <c r="U1123" t="s">
        <v>2650</v>
      </c>
      <c r="V1123" t="s">
        <v>2650</v>
      </c>
      <c r="W1123" t="s">
        <v>3772</v>
      </c>
      <c r="X1123">
        <v>2</v>
      </c>
      <c r="Y1123" t="s">
        <v>5082</v>
      </c>
      <c r="Z1123" t="s">
        <v>6403</v>
      </c>
      <c r="AA1123">
        <v>1.2351836294536129</v>
      </c>
      <c r="AB1123" t="str">
        <f>HYPERLINK("Melting_Curves/meltCurve_Q99784_5_OLFM1.pdf", "Melting_Curves/meltCurve_Q99784_5_OLFM1.pdf")</f>
        <v>Melting_Curves/meltCurve_Q99784_5_OLFM1.pdf</v>
      </c>
    </row>
    <row r="1124" spans="1:28" x14ac:dyDescent="0.25">
      <c r="A1124" t="s">
        <v>1128</v>
      </c>
      <c r="B1124">
        <v>1</v>
      </c>
      <c r="C1124">
        <v>0.74062998405103697</v>
      </c>
      <c r="D1124">
        <v>1.2087121212121199</v>
      </c>
      <c r="E1124">
        <v>1.3523325358851701</v>
      </c>
      <c r="F1124">
        <v>1.15809409888357</v>
      </c>
      <c r="G1124">
        <v>1.3947368421052599</v>
      </c>
      <c r="H1124">
        <v>1.2638157894736799</v>
      </c>
      <c r="I1124">
        <v>2.3807814992025498</v>
      </c>
      <c r="J1124">
        <v>1.9067384370015901</v>
      </c>
      <c r="K1124">
        <v>2.2611642743221698</v>
      </c>
      <c r="L1124">
        <v>998.07669640465895</v>
      </c>
      <c r="M1124">
        <v>19.9161885105067</v>
      </c>
      <c r="O1124">
        <v>49.616827533249499</v>
      </c>
      <c r="P1124">
        <v>5.0176664868579197E-2</v>
      </c>
      <c r="Q1124">
        <v>1.5</v>
      </c>
      <c r="R1124">
        <v>0.33594567368814898</v>
      </c>
      <c r="S1124" t="s">
        <v>2450</v>
      </c>
      <c r="T1124" t="s">
        <v>2650</v>
      </c>
      <c r="U1124" t="s">
        <v>2650</v>
      </c>
      <c r="V1124" t="s">
        <v>2650</v>
      </c>
      <c r="W1124" t="s">
        <v>3773</v>
      </c>
      <c r="X1124">
        <v>2</v>
      </c>
      <c r="Y1124" t="s">
        <v>5083</v>
      </c>
      <c r="Z1124" t="s">
        <v>6404</v>
      </c>
      <c r="AA1124">
        <v>1.324421301166846</v>
      </c>
      <c r="AB1124" t="str">
        <f>HYPERLINK("Melting_Curves/meltCurve_Q99832_3_CCT7.pdf", "Melting_Curves/meltCurve_Q99832_3_CCT7.pdf")</f>
        <v>Melting_Curves/meltCurve_Q99832_3_CCT7.pdf</v>
      </c>
    </row>
    <row r="1125" spans="1:28" x14ac:dyDescent="0.25">
      <c r="A1125" t="s">
        <v>1129</v>
      </c>
      <c r="B1125">
        <v>1</v>
      </c>
      <c r="C1125">
        <v>0.714797975697545</v>
      </c>
      <c r="D1125">
        <v>1.0544775513517901</v>
      </c>
      <c r="E1125">
        <v>1.50253037806825</v>
      </c>
      <c r="F1125">
        <v>0.96165191740413003</v>
      </c>
      <c r="G1125">
        <v>1.09964547644177</v>
      </c>
      <c r="H1125">
        <v>1.09045763308165</v>
      </c>
      <c r="I1125">
        <v>1.18666612540933</v>
      </c>
      <c r="J1125">
        <v>0.77296960840031403</v>
      </c>
      <c r="K1125">
        <v>1.01902519552921</v>
      </c>
      <c r="L1125">
        <v>1450.0738342167199</v>
      </c>
      <c r="M1125">
        <v>20.868429005142701</v>
      </c>
      <c r="O1125">
        <v>68.857855323483193</v>
      </c>
      <c r="P1125">
        <v>-4.8753951138314801E-3</v>
      </c>
      <c r="Q1125">
        <v>0.93565399558946705</v>
      </c>
      <c r="R1125">
        <v>-3.31937954161792E-2</v>
      </c>
      <c r="S1125" t="s">
        <v>2451</v>
      </c>
      <c r="T1125" t="s">
        <v>2650</v>
      </c>
      <c r="U1125" t="s">
        <v>2650</v>
      </c>
      <c r="V1125" t="s">
        <v>2650</v>
      </c>
      <c r="W1125" t="s">
        <v>3774</v>
      </c>
      <c r="X1125">
        <v>1</v>
      </c>
      <c r="Y1125" t="s">
        <v>5084</v>
      </c>
      <c r="Z1125" t="s">
        <v>6405</v>
      </c>
      <c r="AA1125">
        <v>0.99496650361163819</v>
      </c>
      <c r="AB1125" t="str">
        <f>HYPERLINK("Melting_Curves/meltCurve_Q99880_HIST1H2BL.pdf", "Melting_Curves/meltCurve_Q99880_HIST1H2BL.pdf")</f>
        <v>Melting_Curves/meltCurve_Q99880_HIST1H2BL.pdf</v>
      </c>
    </row>
    <row r="1126" spans="1:28" x14ac:dyDescent="0.25">
      <c r="A1126" t="s">
        <v>1130</v>
      </c>
      <c r="B1126">
        <v>1</v>
      </c>
      <c r="C1126">
        <v>0.74298914886402201</v>
      </c>
      <c r="D1126">
        <v>1.0418786029162399</v>
      </c>
      <c r="E1126">
        <v>1.1826042726347901</v>
      </c>
      <c r="F1126">
        <v>0.83207019328585996</v>
      </c>
      <c r="G1126">
        <v>0.93497795863004396</v>
      </c>
      <c r="H1126">
        <v>0.85469650729060698</v>
      </c>
      <c r="I1126">
        <v>0.90793489318413001</v>
      </c>
      <c r="J1126">
        <v>0.61490335707019295</v>
      </c>
      <c r="K1126">
        <v>0.78986944727026098</v>
      </c>
      <c r="L1126">
        <v>842.88766008571395</v>
      </c>
      <c r="M1126">
        <v>13.471776783857599</v>
      </c>
      <c r="O1126">
        <v>61.236582667169003</v>
      </c>
      <c r="P1126">
        <v>-1.8586580700913902E-2</v>
      </c>
      <c r="Q1126">
        <v>0.66210745014080696</v>
      </c>
      <c r="R1126">
        <v>0.31698022927727698</v>
      </c>
      <c r="S1126" t="s">
        <v>2452</v>
      </c>
      <c r="T1126" t="s">
        <v>2650</v>
      </c>
      <c r="U1126" t="s">
        <v>2650</v>
      </c>
      <c r="V1126" t="s">
        <v>2650</v>
      </c>
      <c r="W1126" t="s">
        <v>3775</v>
      </c>
      <c r="X1126">
        <v>1</v>
      </c>
      <c r="Y1126" t="s">
        <v>5085</v>
      </c>
      <c r="Z1126" t="s">
        <v>6406</v>
      </c>
      <c r="AA1126">
        <v>0.91274754915920475</v>
      </c>
      <c r="AB1126" t="str">
        <f>HYPERLINK("Melting_Curves/meltCurve_Q99961_3_SH3GL1.pdf", "Melting_Curves/meltCurve_Q99961_3_SH3GL1.pdf")</f>
        <v>Melting_Curves/meltCurve_Q99961_3_SH3GL1.pdf</v>
      </c>
    </row>
    <row r="1127" spans="1:28" x14ac:dyDescent="0.25">
      <c r="A1127" t="s">
        <v>1131</v>
      </c>
      <c r="B1127">
        <v>1</v>
      </c>
      <c r="C1127">
        <v>0.98209498864310696</v>
      </c>
      <c r="D1127">
        <v>1.39462645030592</v>
      </c>
      <c r="E1127">
        <v>1.6437209683030101</v>
      </c>
      <c r="F1127">
        <v>1.7474881826924999</v>
      </c>
      <c r="G1127">
        <v>1.23917002598785</v>
      </c>
      <c r="H1127">
        <v>1.30900980171479</v>
      </c>
      <c r="I1127">
        <v>1.6528678712476199</v>
      </c>
      <c r="J1127">
        <v>0.85872434467658398</v>
      </c>
      <c r="K1127">
        <v>1.1965049417831299</v>
      </c>
      <c r="L1127">
        <v>11105.376569552</v>
      </c>
      <c r="M1127">
        <v>250</v>
      </c>
      <c r="O1127">
        <v>44.418663614053102</v>
      </c>
      <c r="P1127">
        <v>0.53506837667899498</v>
      </c>
      <c r="Q1127">
        <v>1.38027235515109</v>
      </c>
      <c r="R1127">
        <v>0.28426738263378698</v>
      </c>
      <c r="S1127" t="s">
        <v>2453</v>
      </c>
      <c r="T1127" t="s">
        <v>2650</v>
      </c>
      <c r="U1127" t="s">
        <v>2650</v>
      </c>
      <c r="V1127" t="s">
        <v>2650</v>
      </c>
      <c r="W1127" t="s">
        <v>3776</v>
      </c>
      <c r="X1127">
        <v>2</v>
      </c>
      <c r="Y1127" t="s">
        <v>5086</v>
      </c>
      <c r="Z1127" t="s">
        <v>6407</v>
      </c>
      <c r="AA1127">
        <v>1.3241968226210661</v>
      </c>
      <c r="AB1127" t="str">
        <f>HYPERLINK("Melting_Curves/meltCurve_Q99969_RARRES2.pdf", "Melting_Curves/meltCurve_Q99969_RARRES2.pdf")</f>
        <v>Melting_Curves/meltCurve_Q99969_RARRES2.pdf</v>
      </c>
    </row>
    <row r="1128" spans="1:28" x14ac:dyDescent="0.25">
      <c r="A1128" t="s">
        <v>1132</v>
      </c>
      <c r="B1128">
        <v>1</v>
      </c>
      <c r="C1128">
        <v>0.73834725293599801</v>
      </c>
      <c r="D1128">
        <v>1.2258840200098799</v>
      </c>
      <c r="E1128">
        <v>1.56832771539601</v>
      </c>
      <c r="F1128">
        <v>1.22652811473474</v>
      </c>
      <c r="G1128">
        <v>1.3580951972003401</v>
      </c>
      <c r="H1128">
        <v>1.3068467269253099</v>
      </c>
      <c r="I1128">
        <v>1.56433432810185</v>
      </c>
      <c r="J1128">
        <v>1.00386456834919</v>
      </c>
      <c r="K1128">
        <v>1.3851686454687899</v>
      </c>
      <c r="L1128">
        <v>11470.4621859619</v>
      </c>
      <c r="M1128">
        <v>250</v>
      </c>
      <c r="O1128">
        <v>45.878901185531397</v>
      </c>
      <c r="P1128">
        <v>0.46963011152449202</v>
      </c>
      <c r="Q1128">
        <v>1.3447379014598999</v>
      </c>
      <c r="R1128">
        <v>0.51427386799971198</v>
      </c>
      <c r="S1128" t="s">
        <v>2454</v>
      </c>
      <c r="T1128" t="s">
        <v>2650</v>
      </c>
      <c r="U1128" t="s">
        <v>2650</v>
      </c>
      <c r="V1128" t="s">
        <v>2650</v>
      </c>
      <c r="W1128" t="s">
        <v>3777</v>
      </c>
      <c r="X1128">
        <v>18</v>
      </c>
      <c r="Y1128" t="s">
        <v>5087</v>
      </c>
      <c r="Z1128" t="s">
        <v>6408</v>
      </c>
      <c r="AA1128">
        <v>1.277120269409951</v>
      </c>
      <c r="AB1128" t="str">
        <f>HYPERLINK("Melting_Curves/meltCurve_Q99985_SEMA3C.pdf", "Melting_Curves/meltCurve_Q99985_SEMA3C.pdf")</f>
        <v>Melting_Curves/meltCurve_Q99985_SEMA3C.pdf</v>
      </c>
    </row>
    <row r="1129" spans="1:28" x14ac:dyDescent="0.25">
      <c r="A1129" t="s">
        <v>1133</v>
      </c>
      <c r="B1129">
        <v>1</v>
      </c>
      <c r="C1129">
        <v>0.752981204373534</v>
      </c>
      <c r="D1129">
        <v>1.11346744623922</v>
      </c>
      <c r="E1129">
        <v>1.1692927691342101</v>
      </c>
      <c r="F1129">
        <v>0.91503980444620603</v>
      </c>
      <c r="G1129">
        <v>0.912925709377994</v>
      </c>
      <c r="H1129">
        <v>0.84352393221682698</v>
      </c>
      <c r="I1129">
        <v>0.90225613583060804</v>
      </c>
      <c r="J1129">
        <v>0.62937270835397896</v>
      </c>
      <c r="K1129">
        <v>0.82241601427014199</v>
      </c>
      <c r="L1129">
        <v>1130.27349371113</v>
      </c>
      <c r="M1129">
        <v>18.8016041333704</v>
      </c>
      <c r="O1129">
        <v>59.4481332128207</v>
      </c>
      <c r="P1129">
        <v>-2.0552892182847102E-2</v>
      </c>
      <c r="Q1129">
        <v>0.74006896885481799</v>
      </c>
      <c r="R1129">
        <v>0.37939231752771202</v>
      </c>
      <c r="S1129" t="s">
        <v>2455</v>
      </c>
      <c r="T1129" t="s">
        <v>2650</v>
      </c>
      <c r="U1129" t="s">
        <v>2650</v>
      </c>
      <c r="V1129" t="s">
        <v>2650</v>
      </c>
      <c r="W1129" t="s">
        <v>3778</v>
      </c>
      <c r="X1129">
        <v>11</v>
      </c>
      <c r="Y1129" t="s">
        <v>5088</v>
      </c>
      <c r="Z1129" t="s">
        <v>6409</v>
      </c>
      <c r="AA1129">
        <v>0.91646091054345691</v>
      </c>
      <c r="AB1129" t="str">
        <f>HYPERLINK("Melting_Curves/meltCurve_Q99988_GDF15.pdf", "Melting_Curves/meltCurve_Q99988_GDF15.pdf")</f>
        <v>Melting_Curves/meltCurve_Q99988_GDF15.pdf</v>
      </c>
    </row>
    <row r="1130" spans="1:28" x14ac:dyDescent="0.25">
      <c r="A1130" t="s">
        <v>1134</v>
      </c>
      <c r="B1130">
        <v>1</v>
      </c>
      <c r="C1130">
        <v>1.1582305401956601</v>
      </c>
      <c r="D1130">
        <v>1.0764568268821799</v>
      </c>
      <c r="E1130">
        <v>1.06619523606976</v>
      </c>
      <c r="F1130">
        <v>1.09703317737133</v>
      </c>
      <c r="G1130">
        <v>1.6377605274351299</v>
      </c>
      <c r="H1130">
        <v>1.53727137388345</v>
      </c>
      <c r="I1130">
        <v>1.67960442364951</v>
      </c>
      <c r="J1130">
        <v>1.3298064653338999</v>
      </c>
      <c r="K1130">
        <v>1.6340387069332201</v>
      </c>
      <c r="L1130">
        <v>13325.4613969858</v>
      </c>
      <c r="M1130">
        <v>250</v>
      </c>
      <c r="O1130">
        <v>53.298434624888301</v>
      </c>
      <c r="P1130">
        <v>0.58632116041410898</v>
      </c>
      <c r="Q1130">
        <v>1.5</v>
      </c>
      <c r="R1130">
        <v>0.80120613478916103</v>
      </c>
      <c r="S1130" t="s">
        <v>2456</v>
      </c>
      <c r="T1130" t="s">
        <v>2650</v>
      </c>
      <c r="U1130" t="s">
        <v>2650</v>
      </c>
      <c r="V1130" t="s">
        <v>2650</v>
      </c>
      <c r="W1130" t="s">
        <v>3779</v>
      </c>
      <c r="X1130">
        <v>1</v>
      </c>
      <c r="Y1130" t="s">
        <v>5089</v>
      </c>
      <c r="Z1130" t="s">
        <v>6410</v>
      </c>
      <c r="AA1130">
        <v>1.2782558015795571</v>
      </c>
      <c r="AB1130" t="str">
        <f>HYPERLINK("Melting_Curves/meltCurve_Q9BPX5_ARPC5L.pdf", "Melting_Curves/meltCurve_Q9BPX5_ARPC5L.pdf")</f>
        <v>Melting_Curves/meltCurve_Q9BPX5_ARPC5L.pdf</v>
      </c>
    </row>
    <row r="1131" spans="1:28" x14ac:dyDescent="0.25">
      <c r="A1131" t="s">
        <v>1135</v>
      </c>
      <c r="B1131">
        <v>1</v>
      </c>
      <c r="C1131">
        <v>0.71602839716028399</v>
      </c>
      <c r="D1131">
        <v>1.1503849615038499</v>
      </c>
      <c r="E1131">
        <v>1.24542545745425</v>
      </c>
      <c r="F1131">
        <v>0.94510548945105499</v>
      </c>
      <c r="G1131">
        <v>0.91915808419158096</v>
      </c>
      <c r="H1131">
        <v>0.86106389361063895</v>
      </c>
      <c r="I1131">
        <v>0.97545245475452502</v>
      </c>
      <c r="J1131">
        <v>0.59214078592140795</v>
      </c>
      <c r="K1131">
        <v>0.85996400359963998</v>
      </c>
      <c r="L1131">
        <v>1230.6848815276101</v>
      </c>
      <c r="M1131">
        <v>19.943081156049001</v>
      </c>
      <c r="O1131">
        <v>61.099447456768999</v>
      </c>
      <c r="P1131">
        <v>-2.0686086382370301E-2</v>
      </c>
      <c r="Q1131">
        <v>0.74650520325751402</v>
      </c>
      <c r="R1131">
        <v>0.26778957395095898</v>
      </c>
      <c r="S1131" t="s">
        <v>2457</v>
      </c>
      <c r="T1131" t="s">
        <v>2650</v>
      </c>
      <c r="U1131" t="s">
        <v>2650</v>
      </c>
      <c r="V1131" t="s">
        <v>2650</v>
      </c>
      <c r="W1131" t="s">
        <v>3780</v>
      </c>
      <c r="X1131">
        <v>5</v>
      </c>
      <c r="Y1131" t="s">
        <v>5090</v>
      </c>
      <c r="Z1131" t="s">
        <v>6411</v>
      </c>
      <c r="AA1131">
        <v>0.93096331301385093</v>
      </c>
      <c r="AB1131" t="str">
        <f>HYPERLINK("Melting_Curves/meltCurve_Q9BQ16_7_SPOCK3.pdf", "Melting_Curves/meltCurve_Q9BQ16_7_SPOCK3.pdf")</f>
        <v>Melting_Curves/meltCurve_Q9BQ16_7_SPOCK3.pdf</v>
      </c>
    </row>
    <row r="1132" spans="1:28" x14ac:dyDescent="0.25">
      <c r="A1132" t="s">
        <v>1136</v>
      </c>
      <c r="B1132">
        <v>1</v>
      </c>
      <c r="C1132">
        <v>0.78473139027114902</v>
      </c>
      <c r="D1132">
        <v>1.2129836498425901</v>
      </c>
      <c r="E1132">
        <v>1.3361175992688099</v>
      </c>
      <c r="F1132">
        <v>1.08647303747334</v>
      </c>
      <c r="G1132">
        <v>1.0308723469076899</v>
      </c>
      <c r="H1132">
        <v>0.93411698994617698</v>
      </c>
      <c r="I1132">
        <v>1.2060272164110899</v>
      </c>
      <c r="J1132">
        <v>0.75784502894282502</v>
      </c>
      <c r="K1132">
        <v>1.0267086422260601</v>
      </c>
      <c r="L1132">
        <v>1816.60370948024</v>
      </c>
      <c r="M1132">
        <v>27.269833083533399</v>
      </c>
      <c r="O1132">
        <v>66.260724065721902</v>
      </c>
      <c r="P1132">
        <v>-7.0546062918345398E-3</v>
      </c>
      <c r="Q1132">
        <v>0.93143501668376005</v>
      </c>
      <c r="R1132">
        <v>-3.3046036296307001E-2</v>
      </c>
      <c r="S1132" t="s">
        <v>2458</v>
      </c>
      <c r="T1132" t="s">
        <v>2650</v>
      </c>
      <c r="U1132" t="s">
        <v>2650</v>
      </c>
      <c r="V1132" t="s">
        <v>2650</v>
      </c>
      <c r="W1132" t="s">
        <v>3781</v>
      </c>
      <c r="X1132">
        <v>5</v>
      </c>
      <c r="Y1132" t="s">
        <v>5090</v>
      </c>
      <c r="Z1132" t="s">
        <v>6412</v>
      </c>
      <c r="AA1132">
        <v>0.99135396594094394</v>
      </c>
      <c r="AB1132" t="str">
        <f>HYPERLINK("Melting_Curves/meltCurve_Q9BQ16_8_SPOCK3.pdf", "Melting_Curves/meltCurve_Q9BQ16_8_SPOCK3.pdf")</f>
        <v>Melting_Curves/meltCurve_Q9BQ16_8_SPOCK3.pdf</v>
      </c>
    </row>
    <row r="1133" spans="1:28" x14ac:dyDescent="0.25">
      <c r="A1133" t="s">
        <v>1137</v>
      </c>
      <c r="B1133">
        <v>1</v>
      </c>
      <c r="C1133">
        <v>0.63911156715620299</v>
      </c>
      <c r="D1133">
        <v>1.0948930075461201</v>
      </c>
      <c r="E1133">
        <v>1.2204835503110401</v>
      </c>
      <c r="F1133">
        <v>0.82274097351375597</v>
      </c>
      <c r="G1133">
        <v>0.98138053400029901</v>
      </c>
      <c r="H1133">
        <v>0.88939481391222597</v>
      </c>
      <c r="I1133">
        <v>1.0298852048996301</v>
      </c>
      <c r="J1133">
        <v>0.58333867761174896</v>
      </c>
      <c r="K1133">
        <v>0.871523546890699</v>
      </c>
      <c r="L1133">
        <v>15000</v>
      </c>
      <c r="M1133">
        <v>229.87757872217401</v>
      </c>
      <c r="O1133">
        <v>65.247184726998796</v>
      </c>
      <c r="P1133">
        <v>-0.24005735563744601</v>
      </c>
      <c r="Q1133">
        <v>0.72745377681648704</v>
      </c>
      <c r="R1133">
        <v>0.20995625940156701</v>
      </c>
      <c r="S1133" t="s">
        <v>2459</v>
      </c>
      <c r="T1133" t="s">
        <v>2650</v>
      </c>
      <c r="U1133" t="s">
        <v>2650</v>
      </c>
      <c r="V1133" t="s">
        <v>2650</v>
      </c>
      <c r="W1133" t="s">
        <v>3782</v>
      </c>
      <c r="X1133">
        <v>1</v>
      </c>
      <c r="Y1133" t="s">
        <v>5091</v>
      </c>
      <c r="Z1133" t="s">
        <v>6413</v>
      </c>
      <c r="AA1133">
        <v>0.95690304884025967</v>
      </c>
      <c r="AB1133" t="str">
        <f>HYPERLINK("Melting_Curves/meltCurve_Q9BQI0_3_AIF1L.pdf", "Melting_Curves/meltCurve_Q9BQI0_3_AIF1L.pdf")</f>
        <v>Melting_Curves/meltCurve_Q9BQI0_3_AIF1L.pdf</v>
      </c>
    </row>
    <row r="1134" spans="1:28" x14ac:dyDescent="0.25">
      <c r="A1134" t="s">
        <v>1138</v>
      </c>
      <c r="B1134">
        <v>1</v>
      </c>
      <c r="C1134">
        <v>0.75513180033651195</v>
      </c>
      <c r="D1134">
        <v>1.07627593942793</v>
      </c>
      <c r="E1134">
        <v>1.6900355206580699</v>
      </c>
      <c r="F1134">
        <v>1.3913815666479701</v>
      </c>
      <c r="G1134">
        <v>1.4079267152738799</v>
      </c>
      <c r="H1134">
        <v>1.2754720508506301</v>
      </c>
      <c r="I1134">
        <v>1.59955131800337</v>
      </c>
      <c r="J1134">
        <v>1.03626846139465</v>
      </c>
      <c r="K1134">
        <v>1.3620302860347699</v>
      </c>
      <c r="L1134">
        <v>11565.7303806402</v>
      </c>
      <c r="M1134">
        <v>250</v>
      </c>
      <c r="O1134">
        <v>46.259979834069199</v>
      </c>
      <c r="P1134">
        <v>0.53321834704529603</v>
      </c>
      <c r="Q1134">
        <v>1.39466655960008</v>
      </c>
      <c r="R1134">
        <v>0.55959056286744202</v>
      </c>
      <c r="S1134" t="s">
        <v>2460</v>
      </c>
      <c r="T1134" t="s">
        <v>2650</v>
      </c>
      <c r="U1134" t="s">
        <v>2650</v>
      </c>
      <c r="V1134" t="s">
        <v>2650</v>
      </c>
      <c r="W1134" t="s">
        <v>3783</v>
      </c>
      <c r="X1134">
        <v>1</v>
      </c>
      <c r="Y1134" t="s">
        <v>5092</v>
      </c>
      <c r="Z1134" t="s">
        <v>6414</v>
      </c>
      <c r="AA1134">
        <v>1.3122423266644949</v>
      </c>
      <c r="AB1134" t="str">
        <f>HYPERLINK("Melting_Curves/meltCurve_Q9BQR3_PRSS27.pdf", "Melting_Curves/meltCurve_Q9BQR3_PRSS27.pdf")</f>
        <v>Melting_Curves/meltCurve_Q9BQR3_PRSS27.pdf</v>
      </c>
    </row>
    <row r="1135" spans="1:28" x14ac:dyDescent="0.25">
      <c r="A1135" t="s">
        <v>1139</v>
      </c>
      <c r="B1135">
        <v>1</v>
      </c>
      <c r="C1135">
        <v>0.79723825869870502</v>
      </c>
      <c r="D1135">
        <v>1.2331877047901401</v>
      </c>
      <c r="E1135">
        <v>1.6115228584802599</v>
      </c>
      <c r="F1135">
        <v>1.31182711811515</v>
      </c>
      <c r="G1135">
        <v>1.5760649087221099</v>
      </c>
      <c r="H1135">
        <v>1.37271805273834</v>
      </c>
      <c r="I1135">
        <v>1.6745982212513699</v>
      </c>
      <c r="J1135">
        <v>1.17022936495553</v>
      </c>
      <c r="K1135">
        <v>1.6368778280542999</v>
      </c>
      <c r="L1135">
        <v>11502.447737341599</v>
      </c>
      <c r="M1135">
        <v>250</v>
      </c>
      <c r="O1135">
        <v>46.0068465540623</v>
      </c>
      <c r="P1135">
        <v>0.65088106567235005</v>
      </c>
      <c r="Q1135">
        <v>1.47911976522093</v>
      </c>
      <c r="R1135">
        <v>0.65993778059420605</v>
      </c>
      <c r="S1135" t="s">
        <v>2461</v>
      </c>
      <c r="T1135" t="s">
        <v>2650</v>
      </c>
      <c r="U1135" t="s">
        <v>2650</v>
      </c>
      <c r="V1135" t="s">
        <v>2650</v>
      </c>
      <c r="W1135" t="s">
        <v>3784</v>
      </c>
      <c r="X1135">
        <v>4</v>
      </c>
      <c r="Y1135" t="s">
        <v>5093</v>
      </c>
      <c r="Z1135" t="s">
        <v>6415</v>
      </c>
      <c r="AA1135">
        <v>1.383100757036354</v>
      </c>
      <c r="AB1135" t="str">
        <f>HYPERLINK("Melting_Curves/meltCurve_Q9BQT9_CLSTN3.pdf", "Melting_Curves/meltCurve_Q9BQT9_CLSTN3.pdf")</f>
        <v>Melting_Curves/meltCurve_Q9BQT9_CLSTN3.pdf</v>
      </c>
    </row>
    <row r="1136" spans="1:28" x14ac:dyDescent="0.25">
      <c r="A1136" t="s">
        <v>1140</v>
      </c>
      <c r="B1136">
        <v>1</v>
      </c>
      <c r="C1136">
        <v>0.73082499331390804</v>
      </c>
      <c r="D1136">
        <v>1.0355559309150799</v>
      </c>
      <c r="E1136">
        <v>1.10786425122813</v>
      </c>
      <c r="F1136">
        <v>0.73275340286868496</v>
      </c>
      <c r="G1136">
        <v>0.78532719620511504</v>
      </c>
      <c r="H1136">
        <v>0.65989611925172098</v>
      </c>
      <c r="I1136">
        <v>0.74001660965893901</v>
      </c>
      <c r="J1136">
        <v>0.47568374083301701</v>
      </c>
      <c r="K1136">
        <v>0.63622031727263795</v>
      </c>
      <c r="L1136">
        <v>885.86069258462396</v>
      </c>
      <c r="M1136">
        <v>15.8914014822306</v>
      </c>
      <c r="O1136">
        <v>54.884299887485497</v>
      </c>
      <c r="P1136">
        <v>-3.0217077604373501E-2</v>
      </c>
      <c r="Q1136">
        <v>0.58258930812955001</v>
      </c>
      <c r="R1136">
        <v>0.56947312945389506</v>
      </c>
      <c r="S1136" t="s">
        <v>2462</v>
      </c>
      <c r="T1136" t="s">
        <v>2650</v>
      </c>
      <c r="U1136" t="s">
        <v>2650</v>
      </c>
      <c r="V1136" t="s">
        <v>2650</v>
      </c>
      <c r="W1136" t="s">
        <v>3785</v>
      </c>
      <c r="X1136">
        <v>3</v>
      </c>
      <c r="Y1136" t="s">
        <v>5094</v>
      </c>
      <c r="Z1136" t="s">
        <v>6416</v>
      </c>
      <c r="AA1136">
        <v>0.80883011197692078</v>
      </c>
      <c r="AB1136" t="str">
        <f>HYPERLINK("Melting_Curves/meltCurve_Q9BR76_CORO1B.pdf", "Melting_Curves/meltCurve_Q9BR76_CORO1B.pdf")</f>
        <v>Melting_Curves/meltCurve_Q9BR76_CORO1B.pdf</v>
      </c>
    </row>
    <row r="1137" spans="1:28" x14ac:dyDescent="0.25">
      <c r="A1137" t="s">
        <v>1141</v>
      </c>
      <c r="B1137">
        <v>1</v>
      </c>
      <c r="C1137">
        <v>0.94689465556852803</v>
      </c>
      <c r="D1137">
        <v>1.7650559300967901</v>
      </c>
      <c r="E1137">
        <v>2.6229520545365501</v>
      </c>
      <c r="F1137">
        <v>1.7223080109977</v>
      </c>
      <c r="G1137">
        <v>2.1461715189635</v>
      </c>
      <c r="H1137">
        <v>1.86840420323152</v>
      </c>
      <c r="I1137">
        <v>2.0772852246619702</v>
      </c>
      <c r="J1137">
        <v>1.58856540243305</v>
      </c>
      <c r="K1137">
        <v>1.8349591352491399</v>
      </c>
      <c r="L1137">
        <v>11064.885480693099</v>
      </c>
      <c r="M1137">
        <v>250</v>
      </c>
      <c r="O1137">
        <v>44.256711253248703</v>
      </c>
      <c r="P1137">
        <v>0.70610762332781596</v>
      </c>
      <c r="Q1137">
        <v>1.5</v>
      </c>
      <c r="R1137">
        <v>-4.7673258532674498E-2</v>
      </c>
      <c r="S1137" t="s">
        <v>2463</v>
      </c>
      <c r="T1137" t="s">
        <v>2650</v>
      </c>
      <c r="U1137" t="s">
        <v>2650</v>
      </c>
      <c r="V1137" t="s">
        <v>2650</v>
      </c>
      <c r="W1137" t="s">
        <v>3786</v>
      </c>
      <c r="X1137">
        <v>2</v>
      </c>
      <c r="Y1137" t="s">
        <v>5095</v>
      </c>
      <c r="Z1137" t="s">
        <v>6417</v>
      </c>
      <c r="AA1137">
        <v>1.428968797216831</v>
      </c>
      <c r="AB1137" t="str">
        <f>HYPERLINK("Melting_Curves/meltCurve_Q9BRA2_TXNDC17.pdf", "Melting_Curves/meltCurve_Q9BRA2_TXNDC17.pdf")</f>
        <v>Melting_Curves/meltCurve_Q9BRA2_TXNDC17.pdf</v>
      </c>
    </row>
    <row r="1138" spans="1:28" x14ac:dyDescent="0.25">
      <c r="A1138" t="s">
        <v>1142</v>
      </c>
      <c r="B1138">
        <v>1</v>
      </c>
      <c r="C1138">
        <v>0.70433119960096402</v>
      </c>
      <c r="D1138">
        <v>0.99675783523152395</v>
      </c>
      <c r="E1138">
        <v>1.2243744284645399</v>
      </c>
      <c r="F1138">
        <v>0.96283980380746503</v>
      </c>
      <c r="G1138">
        <v>0.99692410009144605</v>
      </c>
      <c r="H1138">
        <v>0.87422063346911605</v>
      </c>
      <c r="I1138">
        <v>0.85352065840884495</v>
      </c>
      <c r="J1138">
        <v>0.70939396458558501</v>
      </c>
      <c r="K1138">
        <v>0.88693989525313799</v>
      </c>
      <c r="L1138">
        <v>2959.5202059653898</v>
      </c>
      <c r="M1138">
        <v>49.070431833110298</v>
      </c>
      <c r="O1138">
        <v>60.211767637391397</v>
      </c>
      <c r="P1138">
        <v>-3.84893740445496E-2</v>
      </c>
      <c r="Q1138">
        <v>0.81108695922134999</v>
      </c>
      <c r="R1138">
        <v>0.25838983486811901</v>
      </c>
      <c r="S1138" t="s">
        <v>2464</v>
      </c>
      <c r="T1138" t="s">
        <v>2650</v>
      </c>
      <c r="U1138" t="s">
        <v>2650</v>
      </c>
      <c r="V1138" t="s">
        <v>2650</v>
      </c>
      <c r="W1138" t="s">
        <v>3787</v>
      </c>
      <c r="X1138">
        <v>1</v>
      </c>
      <c r="Y1138" t="s">
        <v>5096</v>
      </c>
      <c r="Z1138" t="s">
        <v>6418</v>
      </c>
      <c r="AA1138">
        <v>0.93950128258798782</v>
      </c>
      <c r="AB1138" t="str">
        <f>HYPERLINK("Melting_Curves/meltCurve_Q9BRH9_ZNF251.pdf", "Melting_Curves/meltCurve_Q9BRH9_ZNF251.pdf")</f>
        <v>Melting_Curves/meltCurve_Q9BRH9_ZNF251.pdf</v>
      </c>
    </row>
    <row r="1139" spans="1:28" x14ac:dyDescent="0.25">
      <c r="A1139" t="s">
        <v>1143</v>
      </c>
      <c r="B1139">
        <v>1</v>
      </c>
      <c r="C1139">
        <v>0.645729009674753</v>
      </c>
      <c r="D1139">
        <v>1.0042296660022401</v>
      </c>
      <c r="E1139">
        <v>1.1022898536632799</v>
      </c>
      <c r="F1139">
        <v>0.76415965773737204</v>
      </c>
      <c r="G1139">
        <v>0.78941611162428904</v>
      </c>
      <c r="H1139">
        <v>0.75117895862705997</v>
      </c>
      <c r="I1139">
        <v>0.84753755651708895</v>
      </c>
      <c r="J1139">
        <v>0.45643930186202503</v>
      </c>
      <c r="K1139">
        <v>0.669867275997861</v>
      </c>
      <c r="L1139">
        <v>283.10088612898397</v>
      </c>
      <c r="M1139">
        <v>3.57497433215421</v>
      </c>
      <c r="O1139">
        <v>62.5706937893017</v>
      </c>
      <c r="P1139">
        <v>-1.4545228613943801E-2</v>
      </c>
      <c r="Q1139">
        <v>0</v>
      </c>
      <c r="R1139">
        <v>0.34967453075507299</v>
      </c>
      <c r="S1139" t="s">
        <v>2465</v>
      </c>
      <c r="T1139" t="s">
        <v>2650</v>
      </c>
      <c r="U1139" t="s">
        <v>2650</v>
      </c>
      <c r="V1139" t="s">
        <v>2650</v>
      </c>
      <c r="W1139" t="s">
        <v>3788</v>
      </c>
      <c r="X1139">
        <v>6</v>
      </c>
      <c r="Y1139" t="s">
        <v>5097</v>
      </c>
      <c r="Z1139" t="s">
        <v>6419</v>
      </c>
      <c r="AA1139">
        <v>0.81606656535481403</v>
      </c>
      <c r="AB1139" t="str">
        <f>HYPERLINK("Melting_Curves/meltCurve_Q9BRK5_6_SDF4.pdf", "Melting_Curves/meltCurve_Q9BRK5_6_SDF4.pdf")</f>
        <v>Melting_Curves/meltCurve_Q9BRK5_6_SDF4.pdf</v>
      </c>
    </row>
    <row r="1140" spans="1:28" x14ac:dyDescent="0.25">
      <c r="A1140" t="s">
        <v>1144</v>
      </c>
      <c r="B1140">
        <v>1</v>
      </c>
      <c r="C1140">
        <v>0.72099463518070095</v>
      </c>
      <c r="D1140">
        <v>1.24306223422129</v>
      </c>
      <c r="E1140">
        <v>1.34213179147886</v>
      </c>
      <c r="F1140">
        <v>0.95735953558972497</v>
      </c>
      <c r="G1140">
        <v>0.95768397390589</v>
      </c>
      <c r="H1140">
        <v>1.03269874743636</v>
      </c>
      <c r="I1140">
        <v>1.0393613200004601</v>
      </c>
      <c r="J1140">
        <v>0.58147457214697096</v>
      </c>
      <c r="K1140">
        <v>0.86362003638343998</v>
      </c>
      <c r="L1140">
        <v>15000</v>
      </c>
      <c r="M1140">
        <v>229.74317575228201</v>
      </c>
      <c r="O1140">
        <v>65.285346787078396</v>
      </c>
      <c r="P1140">
        <v>-0.24408382707204401</v>
      </c>
      <c r="Q1140">
        <v>0.72255806539624601</v>
      </c>
      <c r="R1140">
        <v>0.32804228953063103</v>
      </c>
      <c r="S1140" t="s">
        <v>2466</v>
      </c>
      <c r="T1140" t="s">
        <v>2650</v>
      </c>
      <c r="U1140" t="s">
        <v>2650</v>
      </c>
      <c r="V1140" t="s">
        <v>2650</v>
      </c>
      <c r="W1140" t="s">
        <v>3789</v>
      </c>
      <c r="X1140">
        <v>4</v>
      </c>
      <c r="Y1140" t="s">
        <v>5098</v>
      </c>
      <c r="Z1140" t="s">
        <v>6420</v>
      </c>
      <c r="AA1140">
        <v>0.95648200009203366</v>
      </c>
      <c r="AB1140" t="str">
        <f>HYPERLINK("Melting_Curves/meltCurve_Q9BRP8_2_PYM1.pdf", "Melting_Curves/meltCurve_Q9BRP8_2_PYM1.pdf")</f>
        <v>Melting_Curves/meltCurve_Q9BRP8_2_PYM1.pdf</v>
      </c>
    </row>
    <row r="1141" spans="1:28" x14ac:dyDescent="0.25">
      <c r="A1141" t="s">
        <v>1145</v>
      </c>
      <c r="B1141">
        <v>1</v>
      </c>
      <c r="C1141">
        <v>0.79028340080971704</v>
      </c>
      <c r="D1141">
        <v>1.4318488529014799</v>
      </c>
      <c r="E1141">
        <v>2.7184885290148402</v>
      </c>
      <c r="F1141">
        <v>4.0156005398110697</v>
      </c>
      <c r="G1141">
        <v>5.0051282051282104</v>
      </c>
      <c r="H1141">
        <v>5.1534143049932499</v>
      </c>
      <c r="I1141">
        <v>6.4744939271255104</v>
      </c>
      <c r="J1141">
        <v>4.2897705802969002</v>
      </c>
      <c r="K1141">
        <v>5.1580026990553298</v>
      </c>
      <c r="L1141">
        <v>11415.068159067299</v>
      </c>
      <c r="M1141">
        <v>250</v>
      </c>
      <c r="O1141">
        <v>45.657336493569403</v>
      </c>
      <c r="P1141">
        <v>0.68444619591020295</v>
      </c>
      <c r="Q1141">
        <v>1.5</v>
      </c>
      <c r="R1141">
        <v>-1.21425720142653</v>
      </c>
      <c r="S1141" t="s">
        <v>2467</v>
      </c>
      <c r="T1141" t="s">
        <v>2650</v>
      </c>
      <c r="U1141" t="s">
        <v>2650</v>
      </c>
      <c r="V1141" t="s">
        <v>2650</v>
      </c>
      <c r="W1141" t="s">
        <v>3790</v>
      </c>
      <c r="X1141">
        <v>1</v>
      </c>
      <c r="Y1141" t="s">
        <v>5099</v>
      </c>
      <c r="Z1141" t="s">
        <v>6421</v>
      </c>
      <c r="AA1141">
        <v>1.405622056194924</v>
      </c>
      <c r="AB1141" t="str">
        <f>HYPERLINK("Melting_Curves/meltCurve_Q9BRR6_5_ADPGK.pdf", "Melting_Curves/meltCurve_Q9BRR6_5_ADPGK.pdf")</f>
        <v>Melting_Curves/meltCurve_Q9BRR6_5_ADPGK.pdf</v>
      </c>
    </row>
    <row r="1142" spans="1:28" x14ac:dyDescent="0.25">
      <c r="A1142" t="s">
        <v>1146</v>
      </c>
      <c r="B1142">
        <v>1</v>
      </c>
      <c r="C1142">
        <v>0.933592444733649</v>
      </c>
      <c r="D1142">
        <v>1.05650621691493</v>
      </c>
      <c r="E1142">
        <v>1.34120047132481</v>
      </c>
      <c r="F1142">
        <v>1.0915390161973899</v>
      </c>
      <c r="G1142">
        <v>0.94233305780763599</v>
      </c>
      <c r="H1142">
        <v>0.55440460069291797</v>
      </c>
      <c r="I1142">
        <v>0.51195019433355005</v>
      </c>
      <c r="J1142">
        <v>0.41420305657656398</v>
      </c>
      <c r="K1142">
        <v>0.43942245124074503</v>
      </c>
      <c r="L1142">
        <v>2983.7050515516098</v>
      </c>
      <c r="M1142">
        <v>50.228308930868202</v>
      </c>
      <c r="N1142">
        <v>62.177711468511298</v>
      </c>
      <c r="O1142">
        <v>59.308923696156299</v>
      </c>
      <c r="P1142">
        <v>-0.11711383151004599</v>
      </c>
      <c r="Q1142">
        <v>0.44685461104982599</v>
      </c>
      <c r="R1142">
        <v>0.85407373199705905</v>
      </c>
      <c r="S1142" t="s">
        <v>2468</v>
      </c>
      <c r="T1142" t="s">
        <v>2650</v>
      </c>
      <c r="U1142" t="s">
        <v>2650</v>
      </c>
      <c r="V1142" t="s">
        <v>2650</v>
      </c>
      <c r="W1142" t="s">
        <v>3791</v>
      </c>
      <c r="X1142">
        <v>1</v>
      </c>
      <c r="Y1142" t="s">
        <v>5100</v>
      </c>
      <c r="Z1142" t="s">
        <v>6422</v>
      </c>
      <c r="AA1142">
        <v>0.80602829948285737</v>
      </c>
      <c r="AB1142" t="str">
        <f>HYPERLINK("Melting_Curves/meltCurve_Q9BRV8_SIKE1.pdf", "Melting_Curves/meltCurve_Q9BRV8_SIKE1.pdf")</f>
        <v>Melting_Curves/meltCurve_Q9BRV8_SIKE1.pdf</v>
      </c>
    </row>
    <row r="1143" spans="1:28" x14ac:dyDescent="0.25">
      <c r="A1143" t="s">
        <v>1147</v>
      </c>
      <c r="B1143">
        <v>1</v>
      </c>
      <c r="C1143">
        <v>0.78299683654371699</v>
      </c>
      <c r="D1143">
        <v>1.1288238898918499</v>
      </c>
      <c r="E1143">
        <v>1.28345230799808</v>
      </c>
      <c r="F1143">
        <v>0.98746211305629605</v>
      </c>
      <c r="G1143">
        <v>1.0926511751163499</v>
      </c>
      <c r="H1143">
        <v>1.06519038706792</v>
      </c>
      <c r="I1143">
        <v>1.2814482335988899</v>
      </c>
      <c r="J1143">
        <v>0.79041688060022897</v>
      </c>
      <c r="K1143">
        <v>1.06634976895175</v>
      </c>
      <c r="L1143">
        <v>11137.0675676504</v>
      </c>
      <c r="M1143">
        <v>250</v>
      </c>
      <c r="O1143">
        <v>44.5454195965455</v>
      </c>
      <c r="P1143">
        <v>0.12203179820691799</v>
      </c>
      <c r="Q1143">
        <v>1.0869753221481999</v>
      </c>
      <c r="R1143">
        <v>0.143659471874202</v>
      </c>
      <c r="S1143" t="s">
        <v>2469</v>
      </c>
      <c r="T1143" t="s">
        <v>2650</v>
      </c>
      <c r="U1143" t="s">
        <v>2650</v>
      </c>
      <c r="V1143" t="s">
        <v>2650</v>
      </c>
      <c r="W1143" t="s">
        <v>3792</v>
      </c>
      <c r="X1143">
        <v>4</v>
      </c>
      <c r="Y1143" t="s">
        <v>5101</v>
      </c>
      <c r="Z1143" t="s">
        <v>6423</v>
      </c>
      <c r="AA1143">
        <v>1.073782279885136</v>
      </c>
      <c r="AB1143" t="str">
        <f>HYPERLINK("Melting_Curves/meltCurve_Q9BS26_ERP44.pdf", "Melting_Curves/meltCurve_Q9BS26_ERP44.pdf")</f>
        <v>Melting_Curves/meltCurve_Q9BS26_ERP44.pdf</v>
      </c>
    </row>
    <row r="1144" spans="1:28" x14ac:dyDescent="0.25">
      <c r="A1144" t="s">
        <v>1148</v>
      </c>
      <c r="B1144">
        <v>1</v>
      </c>
      <c r="C1144">
        <v>0.89441450269475697</v>
      </c>
      <c r="D1144">
        <v>1.3648771610555099</v>
      </c>
      <c r="E1144">
        <v>1.85787779099881</v>
      </c>
      <c r="F1144">
        <v>1.6629803317701399</v>
      </c>
      <c r="G1144">
        <v>2.0108840204381599</v>
      </c>
      <c r="H1144">
        <v>1.89038986491216</v>
      </c>
      <c r="I1144">
        <v>2.2014068733814001</v>
      </c>
      <c r="J1144">
        <v>1.4693777560019601</v>
      </c>
      <c r="K1144">
        <v>1.98033177014069</v>
      </c>
      <c r="L1144">
        <v>11454.3046929061</v>
      </c>
      <c r="M1144">
        <v>250</v>
      </c>
      <c r="O1144">
        <v>45.814286614034103</v>
      </c>
      <c r="P1144">
        <v>0.68210163766389398</v>
      </c>
      <c r="Q1144">
        <v>1.5</v>
      </c>
      <c r="R1144">
        <v>0.25514694068551802</v>
      </c>
      <c r="S1144" t="s">
        <v>2470</v>
      </c>
      <c r="T1144" t="s">
        <v>2650</v>
      </c>
      <c r="U1144" t="s">
        <v>2650</v>
      </c>
      <c r="V1144" t="s">
        <v>2650</v>
      </c>
      <c r="W1144" t="s">
        <v>3793</v>
      </c>
      <c r="X1144">
        <v>2</v>
      </c>
      <c r="Y1144" t="s">
        <v>5102</v>
      </c>
      <c r="Z1144" t="s">
        <v>6424</v>
      </c>
      <c r="AA1144">
        <v>1.403006149553325</v>
      </c>
      <c r="AB1144" t="str">
        <f>HYPERLINK("Melting_Curves/meltCurve_Q9BS40_LXN.pdf", "Melting_Curves/meltCurve_Q9BS40_LXN.pdf")</f>
        <v>Melting_Curves/meltCurve_Q9BS40_LXN.pdf</v>
      </c>
    </row>
    <row r="1145" spans="1:28" x14ac:dyDescent="0.25">
      <c r="A1145" t="s">
        <v>1149</v>
      </c>
      <c r="B1145">
        <v>1</v>
      </c>
      <c r="C1145">
        <v>1.00795975547631</v>
      </c>
      <c r="D1145">
        <v>1.2711729495669899</v>
      </c>
      <c r="E1145">
        <v>1.5929062659195099</v>
      </c>
      <c r="F1145">
        <v>1.4212939378502301</v>
      </c>
      <c r="G1145">
        <v>1.5574694345389699</v>
      </c>
      <c r="H1145">
        <v>1.37359908303617</v>
      </c>
      <c r="I1145">
        <v>1.61500254712175</v>
      </c>
      <c r="J1145">
        <v>1.2274261334691801</v>
      </c>
      <c r="K1145">
        <v>1.4146395822720299</v>
      </c>
      <c r="L1145">
        <v>11482.7325959155</v>
      </c>
      <c r="M1145">
        <v>250</v>
      </c>
      <c r="O1145">
        <v>45.927991812468598</v>
      </c>
      <c r="P1145">
        <v>0.62254616046853894</v>
      </c>
      <c r="Q1145">
        <v>1.4574767118301799</v>
      </c>
      <c r="R1145">
        <v>0.73729922341808496</v>
      </c>
      <c r="S1145" t="s">
        <v>2471</v>
      </c>
      <c r="T1145" t="s">
        <v>2650</v>
      </c>
      <c r="U1145" t="s">
        <v>2650</v>
      </c>
      <c r="V1145" t="s">
        <v>2650</v>
      </c>
      <c r="W1145" t="s">
        <v>3794</v>
      </c>
      <c r="X1145">
        <v>1</v>
      </c>
      <c r="Y1145" t="s">
        <v>5103</v>
      </c>
      <c r="Z1145" t="s">
        <v>6425</v>
      </c>
      <c r="AA1145">
        <v>1.3669977511825799</v>
      </c>
      <c r="AB1145" t="str">
        <f>HYPERLINK("Melting_Curves/meltCurve_Q9BSG0_PRADC1.pdf", "Melting_Curves/meltCurve_Q9BSG0_PRADC1.pdf")</f>
        <v>Melting_Curves/meltCurve_Q9BSG0_PRADC1.pdf</v>
      </c>
    </row>
    <row r="1146" spans="1:28" x14ac:dyDescent="0.25">
      <c r="A1146" t="s">
        <v>1150</v>
      </c>
      <c r="B1146">
        <v>1</v>
      </c>
      <c r="C1146">
        <v>0.81015765965628395</v>
      </c>
      <c r="D1146">
        <v>1.1854053894163901</v>
      </c>
      <c r="E1146">
        <v>1.4957848966190399</v>
      </c>
      <c r="F1146">
        <v>1.27080190493093</v>
      </c>
      <c r="G1146">
        <v>1.01724494927086</v>
      </c>
      <c r="H1146">
        <v>1.0455231165143299</v>
      </c>
      <c r="I1146">
        <v>1.21356523796847</v>
      </c>
      <c r="J1146">
        <v>0.77504658798473702</v>
      </c>
      <c r="K1146">
        <v>0.98757653740349605</v>
      </c>
      <c r="L1146">
        <v>1801.75567175075</v>
      </c>
      <c r="M1146">
        <v>26.4407745952544</v>
      </c>
      <c r="O1146">
        <v>67.756869819595806</v>
      </c>
      <c r="P1146">
        <v>-9.2761809675868598E-3</v>
      </c>
      <c r="Q1146">
        <v>0.90491682181711797</v>
      </c>
      <c r="R1146">
        <v>-0.13729529796894699</v>
      </c>
      <c r="S1146" t="s">
        <v>2472</v>
      </c>
      <c r="T1146" t="s">
        <v>2650</v>
      </c>
      <c r="U1146" t="s">
        <v>2650</v>
      </c>
      <c r="V1146" t="s">
        <v>2650</v>
      </c>
      <c r="W1146" t="s">
        <v>3795</v>
      </c>
      <c r="X1146">
        <v>1</v>
      </c>
      <c r="Y1146" t="s">
        <v>5104</v>
      </c>
      <c r="Z1146" t="s">
        <v>6426</v>
      </c>
      <c r="AA1146">
        <v>0.99133867033252843</v>
      </c>
      <c r="AB1146" t="str">
        <f>HYPERLINK("Melting_Curves/meltCurve_Q9BSK1_2_ZNF577.pdf", "Melting_Curves/meltCurve_Q9BSK1_2_ZNF577.pdf")</f>
        <v>Melting_Curves/meltCurve_Q9BSK1_2_ZNF577.pdf</v>
      </c>
    </row>
    <row r="1147" spans="1:28" x14ac:dyDescent="0.25">
      <c r="A1147" t="s">
        <v>1151</v>
      </c>
      <c r="B1147">
        <v>1</v>
      </c>
      <c r="C1147">
        <v>0.70973634536929897</v>
      </c>
      <c r="D1147">
        <v>1.20209462339402</v>
      </c>
      <c r="E1147">
        <v>1.48231139255922</v>
      </c>
      <c r="F1147">
        <v>1.25105035620776</v>
      </c>
      <c r="G1147">
        <v>1.43512147597881</v>
      </c>
      <c r="H1147">
        <v>1.4626438531328001</v>
      </c>
      <c r="I1147">
        <v>1.7885891737197801</v>
      </c>
      <c r="J1147">
        <v>1.1997199050112599</v>
      </c>
      <c r="K1147">
        <v>1.65085550751994</v>
      </c>
      <c r="L1147">
        <v>11512.481323186999</v>
      </c>
      <c r="M1147">
        <v>250</v>
      </c>
      <c r="O1147">
        <v>46.0469782469062</v>
      </c>
      <c r="P1147">
        <v>0.634113980957837</v>
      </c>
      <c r="Q1147">
        <v>1.46718452403149</v>
      </c>
      <c r="R1147">
        <v>0.62000439530465101</v>
      </c>
      <c r="S1147" t="s">
        <v>2473</v>
      </c>
      <c r="T1147" t="s">
        <v>2650</v>
      </c>
      <c r="U1147" t="s">
        <v>2650</v>
      </c>
      <c r="V1147" t="s">
        <v>2650</v>
      </c>
      <c r="W1147" t="s">
        <v>3796</v>
      </c>
      <c r="X1147">
        <v>1</v>
      </c>
      <c r="Y1147" t="s">
        <v>5105</v>
      </c>
      <c r="Z1147" t="s">
        <v>6427</v>
      </c>
      <c r="AA1147">
        <v>1.37293238534822</v>
      </c>
      <c r="AB1147" t="str">
        <f>HYPERLINK("Melting_Curves/meltCurve_Q9BTY2_2_FUCA2.pdf", "Melting_Curves/meltCurve_Q9BTY2_2_FUCA2.pdf")</f>
        <v>Melting_Curves/meltCurve_Q9BTY2_2_FUCA2.pdf</v>
      </c>
    </row>
    <row r="1148" spans="1:28" x14ac:dyDescent="0.25">
      <c r="A1148" t="s">
        <v>1152</v>
      </c>
      <c r="B1148">
        <v>1</v>
      </c>
      <c r="C1148">
        <v>0.86432191119691104</v>
      </c>
      <c r="D1148">
        <v>0.96211389961390004</v>
      </c>
      <c r="E1148">
        <v>0.98371138996138996</v>
      </c>
      <c r="F1148">
        <v>0.887608590733591</v>
      </c>
      <c r="G1148">
        <v>0.83765685328185302</v>
      </c>
      <c r="H1148">
        <v>0.76761583011583001</v>
      </c>
      <c r="I1148">
        <v>0.87940395752895795</v>
      </c>
      <c r="J1148">
        <v>0.85629826254826302</v>
      </c>
      <c r="K1148">
        <v>0.779983108108108</v>
      </c>
      <c r="L1148">
        <v>261.74872627768502</v>
      </c>
      <c r="M1148">
        <v>4.3827756025787501</v>
      </c>
      <c r="O1148">
        <v>50.388252796300797</v>
      </c>
      <c r="P1148">
        <v>-6.5468936281188501E-3</v>
      </c>
      <c r="Q1148">
        <v>0.70177140827439899</v>
      </c>
      <c r="R1148">
        <v>0.53634725487397095</v>
      </c>
      <c r="S1148" t="s">
        <v>2474</v>
      </c>
      <c r="T1148" t="s">
        <v>2650</v>
      </c>
      <c r="U1148" t="s">
        <v>2650</v>
      </c>
      <c r="V1148" t="s">
        <v>2650</v>
      </c>
      <c r="W1148" t="s">
        <v>3797</v>
      </c>
      <c r="X1148">
        <v>1</v>
      </c>
      <c r="Y1148" t="s">
        <v>5106</v>
      </c>
      <c r="Z1148" t="s">
        <v>6428</v>
      </c>
      <c r="AA1148">
        <v>0.88208350912954758</v>
      </c>
      <c r="AB1148" t="str">
        <f>HYPERLINK("Melting_Curves/meltCurve_Q9BUD6_SPON2.pdf", "Melting_Curves/meltCurve_Q9BUD6_SPON2.pdf")</f>
        <v>Melting_Curves/meltCurve_Q9BUD6_SPON2.pdf</v>
      </c>
    </row>
    <row r="1149" spans="1:28" x14ac:dyDescent="0.25">
      <c r="A1149" t="s">
        <v>1153</v>
      </c>
      <c r="B1149">
        <v>1</v>
      </c>
      <c r="C1149">
        <v>0.90562420110779696</v>
      </c>
      <c r="D1149">
        <v>1.12392720189908</v>
      </c>
      <c r="E1149">
        <v>1.33772597236594</v>
      </c>
      <c r="F1149">
        <v>1.1839125935845201</v>
      </c>
      <c r="G1149">
        <v>1.21547263984418</v>
      </c>
      <c r="H1149">
        <v>1.2058859334104299</v>
      </c>
      <c r="I1149">
        <v>1.4395885324730699</v>
      </c>
      <c r="J1149">
        <v>1.0510986669913001</v>
      </c>
      <c r="K1149">
        <v>1.35090388946375</v>
      </c>
      <c r="L1149">
        <v>11502.5580486044</v>
      </c>
      <c r="M1149">
        <v>250</v>
      </c>
      <c r="O1149">
        <v>46.007287766306298</v>
      </c>
      <c r="P1149">
        <v>0.34633259743389599</v>
      </c>
      <c r="Q1149">
        <v>1.2549411757036899</v>
      </c>
      <c r="R1149">
        <v>0.562965305642667</v>
      </c>
      <c r="S1149" t="s">
        <v>2475</v>
      </c>
      <c r="T1149" t="s">
        <v>2650</v>
      </c>
      <c r="U1149" t="s">
        <v>2650</v>
      </c>
      <c r="V1149" t="s">
        <v>2650</v>
      </c>
      <c r="W1149" t="s">
        <v>3798</v>
      </c>
      <c r="X1149">
        <v>4</v>
      </c>
      <c r="Y1149" t="s">
        <v>5107</v>
      </c>
      <c r="Z1149" t="s">
        <v>6429</v>
      </c>
      <c r="AA1149">
        <v>1.2038454011771269</v>
      </c>
      <c r="AB1149" t="str">
        <f>HYPERLINK("Melting_Curves/meltCurve_Q9BUP0_EFHD1.pdf", "Melting_Curves/meltCurve_Q9BUP0_EFHD1.pdf")</f>
        <v>Melting_Curves/meltCurve_Q9BUP0_EFHD1.pdf</v>
      </c>
    </row>
    <row r="1150" spans="1:28" x14ac:dyDescent="0.25">
      <c r="A1150" t="s">
        <v>1154</v>
      </c>
      <c r="B1150">
        <v>1</v>
      </c>
      <c r="C1150">
        <v>0.97469719296984503</v>
      </c>
      <c r="D1150">
        <v>1.11116702009129</v>
      </c>
      <c r="E1150">
        <v>1.2760665636344</v>
      </c>
      <c r="F1150">
        <v>1.0626100708047299</v>
      </c>
      <c r="G1150">
        <v>1.0665995758904501</v>
      </c>
      <c r="H1150">
        <v>1.0267404665205</v>
      </c>
      <c r="I1150">
        <v>1.17543039930992</v>
      </c>
      <c r="J1150">
        <v>0.83301585019588098</v>
      </c>
      <c r="K1150">
        <v>1.1201523919059799</v>
      </c>
      <c r="L1150">
        <v>11098.9756433723</v>
      </c>
      <c r="M1150">
        <v>250</v>
      </c>
      <c r="O1150">
        <v>44.3930615814917</v>
      </c>
      <c r="P1150">
        <v>0.118224324319849</v>
      </c>
      <c r="Q1150">
        <v>1.0839734351639201</v>
      </c>
      <c r="R1150">
        <v>0.112794736469315</v>
      </c>
      <c r="S1150" t="s">
        <v>2476</v>
      </c>
      <c r="T1150" t="s">
        <v>2650</v>
      </c>
      <c r="U1150" t="s">
        <v>2650</v>
      </c>
      <c r="V1150" t="s">
        <v>2650</v>
      </c>
      <c r="W1150" t="s">
        <v>3799</v>
      </c>
      <c r="X1150">
        <v>1</v>
      </c>
      <c r="Y1150" t="s">
        <v>5108</v>
      </c>
      <c r="Z1150" t="s">
        <v>6430</v>
      </c>
      <c r="AA1150">
        <v>1.0716622577897179</v>
      </c>
      <c r="AB1150" t="str">
        <f>HYPERLINK("Melting_Curves/meltCurve_Q9BUQ8_DDX23.pdf", "Melting_Curves/meltCurve_Q9BUQ8_DDX23.pdf")</f>
        <v>Melting_Curves/meltCurve_Q9BUQ8_DDX23.pdf</v>
      </c>
    </row>
    <row r="1151" spans="1:28" x14ac:dyDescent="0.25">
      <c r="A1151" t="s">
        <v>1155</v>
      </c>
      <c r="B1151">
        <v>1</v>
      </c>
      <c r="C1151">
        <v>0.77157232704402501</v>
      </c>
      <c r="D1151">
        <v>1.1313566936208399</v>
      </c>
      <c r="E1151">
        <v>1.65063791554358</v>
      </c>
      <c r="F1151">
        <v>1.3999640610961399</v>
      </c>
      <c r="G1151">
        <v>1.4378077268643299</v>
      </c>
      <c r="H1151">
        <v>1.7096136567834701</v>
      </c>
      <c r="I1151">
        <v>2.2766217430368401</v>
      </c>
      <c r="J1151">
        <v>1.6459658580413301</v>
      </c>
      <c r="K1151">
        <v>2.45998203054807</v>
      </c>
      <c r="L1151">
        <v>11547.4680013917</v>
      </c>
      <c r="M1151">
        <v>250</v>
      </c>
      <c r="O1151">
        <v>46.186939939890003</v>
      </c>
      <c r="P1151">
        <v>0.67659853710373496</v>
      </c>
      <c r="Q1151">
        <v>1.5</v>
      </c>
      <c r="R1151">
        <v>0.33375609279740098</v>
      </c>
      <c r="S1151" t="s">
        <v>2477</v>
      </c>
      <c r="T1151" t="s">
        <v>2650</v>
      </c>
      <c r="U1151" t="s">
        <v>2650</v>
      </c>
      <c r="V1151" t="s">
        <v>2650</v>
      </c>
      <c r="W1151" t="s">
        <v>3800</v>
      </c>
      <c r="X1151">
        <v>1</v>
      </c>
      <c r="Y1151" t="s">
        <v>5109</v>
      </c>
      <c r="Z1151" t="s">
        <v>6431</v>
      </c>
      <c r="AA1151">
        <v>1.3967949353206379</v>
      </c>
      <c r="AB1151" t="str">
        <f>HYPERLINK("Melting_Curves/meltCurve_Q9BUT1_3_BDH2.pdf", "Melting_Curves/meltCurve_Q9BUT1_3_BDH2.pdf")</f>
        <v>Melting_Curves/meltCurve_Q9BUT1_3_BDH2.pdf</v>
      </c>
    </row>
    <row r="1152" spans="1:28" x14ac:dyDescent="0.25">
      <c r="A1152" t="s">
        <v>1156</v>
      </c>
      <c r="B1152">
        <v>1</v>
      </c>
      <c r="C1152">
        <v>0.76738467931846499</v>
      </c>
      <c r="D1152">
        <v>1.1140047097935999</v>
      </c>
      <c r="E1152">
        <v>1.2947776700374001</v>
      </c>
      <c r="F1152">
        <v>1.0293669483307899</v>
      </c>
      <c r="G1152">
        <v>1.14932816179526</v>
      </c>
      <c r="H1152">
        <v>1.1446876298656301</v>
      </c>
      <c r="I1152">
        <v>1.33931292422773</v>
      </c>
      <c r="J1152">
        <v>0.85216096412245501</v>
      </c>
      <c r="K1152">
        <v>1.1874913422911799</v>
      </c>
      <c r="L1152">
        <v>11436.1347559028</v>
      </c>
      <c r="M1152">
        <v>250</v>
      </c>
      <c r="O1152">
        <v>45.7416116926576</v>
      </c>
      <c r="P1152">
        <v>0.194634770337029</v>
      </c>
      <c r="Q1152">
        <v>1.1424465291691499</v>
      </c>
      <c r="R1152">
        <v>0.26566288105119801</v>
      </c>
      <c r="S1152" t="s">
        <v>2478</v>
      </c>
      <c r="T1152" t="s">
        <v>2650</v>
      </c>
      <c r="U1152" t="s">
        <v>2650</v>
      </c>
      <c r="V1152" t="s">
        <v>2650</v>
      </c>
      <c r="W1152" t="s">
        <v>3801</v>
      </c>
      <c r="X1152">
        <v>1</v>
      </c>
      <c r="Y1152" t="s">
        <v>5110</v>
      </c>
      <c r="Z1152" t="s">
        <v>6432</v>
      </c>
      <c r="AA1152">
        <v>1.115158771906215</v>
      </c>
      <c r="AB1152" t="str">
        <f>HYPERLINK("Melting_Curves/meltCurve_Q9BV57_ADI1.pdf", "Melting_Curves/meltCurve_Q9BV57_ADI1.pdf")</f>
        <v>Melting_Curves/meltCurve_Q9BV57_ADI1.pdf</v>
      </c>
    </row>
    <row r="1153" spans="1:28" x14ac:dyDescent="0.25">
      <c r="A1153" t="s">
        <v>1157</v>
      </c>
      <c r="B1153">
        <v>1</v>
      </c>
      <c r="C1153">
        <v>0.93932390157351597</v>
      </c>
      <c r="D1153">
        <v>1.01650557967969</v>
      </c>
      <c r="E1153">
        <v>1.4373161507213901</v>
      </c>
      <c r="F1153">
        <v>1.06455152448989</v>
      </c>
      <c r="G1153">
        <v>1.18616052668441</v>
      </c>
      <c r="H1153">
        <v>1.1445347154129899</v>
      </c>
      <c r="I1153">
        <v>1.54132231404959</v>
      </c>
      <c r="J1153">
        <v>1.0544660783489801</v>
      </c>
      <c r="K1153">
        <v>1.23913246486436</v>
      </c>
      <c r="L1153">
        <v>11619.491960789899</v>
      </c>
      <c r="M1153">
        <v>250</v>
      </c>
      <c r="O1153">
        <v>46.474993580731201</v>
      </c>
      <c r="P1153">
        <v>0.32034965106315899</v>
      </c>
      <c r="Q1153">
        <v>1.2382119672502001</v>
      </c>
      <c r="R1153">
        <v>0.388800889681166</v>
      </c>
      <c r="S1153" t="s">
        <v>2479</v>
      </c>
      <c r="T1153" t="s">
        <v>2650</v>
      </c>
      <c r="U1153" t="s">
        <v>2650</v>
      </c>
      <c r="V1153" t="s">
        <v>2650</v>
      </c>
      <c r="W1153" t="s">
        <v>3802</v>
      </c>
      <c r="X1153">
        <v>1</v>
      </c>
      <c r="Y1153" t="s">
        <v>5111</v>
      </c>
      <c r="Z1153" t="s">
        <v>6433</v>
      </c>
      <c r="AA1153">
        <v>1.186754887960116</v>
      </c>
      <c r="AB1153" t="str">
        <f>HYPERLINK("Melting_Curves/meltCurve_Q9BVG4_PBDC1.pdf", "Melting_Curves/meltCurve_Q9BVG4_PBDC1.pdf")</f>
        <v>Melting_Curves/meltCurve_Q9BVG4_PBDC1.pdf</v>
      </c>
    </row>
    <row r="1154" spans="1:28" x14ac:dyDescent="0.25">
      <c r="A1154" t="s">
        <v>1158</v>
      </c>
      <c r="B1154">
        <v>1</v>
      </c>
      <c r="C1154">
        <v>0.713236706539771</v>
      </c>
      <c r="D1154">
        <v>1.11307081114119</v>
      </c>
      <c r="E1154">
        <v>1.2980878372478799</v>
      </c>
      <c r="F1154">
        <v>1.0231380424343</v>
      </c>
      <c r="G1154">
        <v>0.90089932768706904</v>
      </c>
      <c r="H1154">
        <v>0.90264559504060105</v>
      </c>
      <c r="I1154">
        <v>1.05308652754737</v>
      </c>
      <c r="J1154">
        <v>0.59857679210687198</v>
      </c>
      <c r="K1154">
        <v>0.75916353793765801</v>
      </c>
      <c r="L1154">
        <v>15000</v>
      </c>
      <c r="M1154">
        <v>229.32422144809701</v>
      </c>
      <c r="O1154">
        <v>65.404612813840799</v>
      </c>
      <c r="P1154">
        <v>-0.281788951954976</v>
      </c>
      <c r="Q1154">
        <v>0.67852861136258202</v>
      </c>
      <c r="R1154">
        <v>0.428850610620927</v>
      </c>
      <c r="S1154" t="s">
        <v>2480</v>
      </c>
      <c r="T1154" t="s">
        <v>2650</v>
      </c>
      <c r="U1154" t="s">
        <v>2650</v>
      </c>
      <c r="V1154" t="s">
        <v>2650</v>
      </c>
      <c r="W1154" t="s">
        <v>3803</v>
      </c>
      <c r="X1154">
        <v>3</v>
      </c>
      <c r="Y1154" t="s">
        <v>5112</v>
      </c>
      <c r="Z1154" t="s">
        <v>6434</v>
      </c>
      <c r="AA1154">
        <v>0.95085418740660232</v>
      </c>
      <c r="AB1154" t="str">
        <f>HYPERLINK("Melting_Curves/meltCurve_Q9BW04_SARG.pdf", "Melting_Curves/meltCurve_Q9BW04_SARG.pdf")</f>
        <v>Melting_Curves/meltCurve_Q9BW04_SARG.pdf</v>
      </c>
    </row>
    <row r="1155" spans="1:28" x14ac:dyDescent="0.25">
      <c r="A1155" t="s">
        <v>1159</v>
      </c>
      <c r="B1155">
        <v>1</v>
      </c>
      <c r="C1155">
        <v>0.74564104886554095</v>
      </c>
      <c r="D1155">
        <v>1.1133100855939499</v>
      </c>
      <c r="E1155">
        <v>1.3356505593043799</v>
      </c>
      <c r="F1155">
        <v>1.02320999954712</v>
      </c>
      <c r="G1155">
        <v>1.10493184185499</v>
      </c>
      <c r="H1155">
        <v>1.05072234047371</v>
      </c>
      <c r="I1155">
        <v>1.19879081563335</v>
      </c>
      <c r="J1155">
        <v>0.82781576921335098</v>
      </c>
      <c r="K1155">
        <v>1.104841266247</v>
      </c>
      <c r="L1155">
        <v>11158.644813504499</v>
      </c>
      <c r="M1155">
        <v>250</v>
      </c>
      <c r="O1155">
        <v>44.6317340562738</v>
      </c>
      <c r="P1155">
        <v>0.13291206071141101</v>
      </c>
      <c r="Q1155">
        <v>1.0949135082791901</v>
      </c>
      <c r="R1155">
        <v>0.179794857662189</v>
      </c>
      <c r="S1155" t="s">
        <v>2481</v>
      </c>
      <c r="T1155" t="s">
        <v>2650</v>
      </c>
      <c r="U1155" t="s">
        <v>2650</v>
      </c>
      <c r="V1155" t="s">
        <v>2650</v>
      </c>
      <c r="W1155" t="s">
        <v>3804</v>
      </c>
      <c r="X1155">
        <v>2</v>
      </c>
      <c r="Y1155" t="s">
        <v>5113</v>
      </c>
      <c r="Z1155" t="s">
        <v>6435</v>
      </c>
      <c r="AA1155">
        <v>1.0802432675402189</v>
      </c>
      <c r="AB1155" t="str">
        <f>HYPERLINK("Melting_Curves/meltCurve_Q9BW91_2_NUDT9.pdf", "Melting_Curves/meltCurve_Q9BW91_2_NUDT9.pdf")</f>
        <v>Melting_Curves/meltCurve_Q9BW91_2_NUDT9.pdf</v>
      </c>
    </row>
    <row r="1156" spans="1:28" x14ac:dyDescent="0.25">
      <c r="A1156" t="s">
        <v>1160</v>
      </c>
      <c r="B1156">
        <v>1</v>
      </c>
      <c r="C1156">
        <v>0.705502722913111</v>
      </c>
      <c r="D1156">
        <v>1.23213850280419</v>
      </c>
      <c r="E1156">
        <v>1.65845728684061</v>
      </c>
      <c r="F1156">
        <v>1.4953263431683299</v>
      </c>
      <c r="G1156">
        <v>1.6982849711452499</v>
      </c>
      <c r="H1156">
        <v>1.76517922457937</v>
      </c>
      <c r="I1156">
        <v>2.1558969357067399</v>
      </c>
      <c r="J1156">
        <v>1.3872226286271601</v>
      </c>
      <c r="K1156">
        <v>2.0008128098837701</v>
      </c>
      <c r="L1156">
        <v>11506.584254657901</v>
      </c>
      <c r="M1156">
        <v>250</v>
      </c>
      <c r="O1156">
        <v>46.023391410834797</v>
      </c>
      <c r="P1156">
        <v>0.67900254466638799</v>
      </c>
      <c r="Q1156">
        <v>1.5</v>
      </c>
      <c r="R1156">
        <v>0.48597060517120799</v>
      </c>
      <c r="S1156" t="s">
        <v>2482</v>
      </c>
      <c r="T1156" t="s">
        <v>2650</v>
      </c>
      <c r="U1156" t="s">
        <v>2650</v>
      </c>
      <c r="V1156" t="s">
        <v>2650</v>
      </c>
      <c r="W1156" t="s">
        <v>3805</v>
      </c>
      <c r="X1156">
        <v>5</v>
      </c>
      <c r="Y1156" t="s">
        <v>5114</v>
      </c>
      <c r="Z1156" t="s">
        <v>6436</v>
      </c>
      <c r="AA1156">
        <v>1.3995206619369041</v>
      </c>
      <c r="AB1156" t="str">
        <f>HYPERLINK("Melting_Curves/meltCurve_Q9BWD1_ACAT2.pdf", "Melting_Curves/meltCurve_Q9BWD1_ACAT2.pdf")</f>
        <v>Melting_Curves/meltCurve_Q9BWD1_ACAT2.pdf</v>
      </c>
    </row>
    <row r="1157" spans="1:28" x14ac:dyDescent="0.25">
      <c r="A1157" t="s">
        <v>1161</v>
      </c>
      <c r="B1157">
        <v>1</v>
      </c>
      <c r="C1157">
        <v>0.77347429120615097</v>
      </c>
      <c r="D1157">
        <v>1.08505526189332</v>
      </c>
      <c r="E1157">
        <v>1.3556222969726099</v>
      </c>
      <c r="F1157">
        <v>0.98978856319077402</v>
      </c>
      <c r="G1157">
        <v>1.35703988467083</v>
      </c>
      <c r="H1157">
        <v>2.0213599231138901</v>
      </c>
      <c r="I1157">
        <v>3.03820278712158</v>
      </c>
      <c r="J1157">
        <v>2.4127823161941402</v>
      </c>
      <c r="K1157">
        <v>3.3594425756847701</v>
      </c>
      <c r="L1157">
        <v>14197.828893800501</v>
      </c>
      <c r="M1157">
        <v>250</v>
      </c>
      <c r="O1157">
        <v>56.787705782987402</v>
      </c>
      <c r="P1157">
        <v>0.55029540256581899</v>
      </c>
      <c r="Q1157">
        <v>1.5</v>
      </c>
      <c r="R1157">
        <v>6.49296883390756E-2</v>
      </c>
      <c r="S1157" t="s">
        <v>2483</v>
      </c>
      <c r="T1157" t="s">
        <v>2650</v>
      </c>
      <c r="U1157" t="s">
        <v>2650</v>
      </c>
      <c r="V1157" t="s">
        <v>2650</v>
      </c>
      <c r="W1157" t="s">
        <v>3806</v>
      </c>
      <c r="X1157">
        <v>3</v>
      </c>
      <c r="Y1157" t="s">
        <v>5115</v>
      </c>
      <c r="Z1157" t="s">
        <v>6437</v>
      </c>
      <c r="AA1157">
        <v>1.2200949064758171</v>
      </c>
      <c r="AB1157" t="str">
        <f>HYPERLINK("Melting_Curves/meltCurve_Q9BWS9_3_CHID1.pdf", "Melting_Curves/meltCurve_Q9BWS9_3_CHID1.pdf")</f>
        <v>Melting_Curves/meltCurve_Q9BWS9_3_CHID1.pdf</v>
      </c>
    </row>
    <row r="1158" spans="1:28" x14ac:dyDescent="0.25">
      <c r="A1158" t="s">
        <v>1162</v>
      </c>
      <c r="B1158">
        <v>1</v>
      </c>
      <c r="C1158">
        <v>0.62958484979335005</v>
      </c>
      <c r="D1158">
        <v>1.09446672012831</v>
      </c>
      <c r="E1158">
        <v>1.30886435136636</v>
      </c>
      <c r="F1158">
        <v>0.95028067361668001</v>
      </c>
      <c r="G1158">
        <v>0.98646597989019802</v>
      </c>
      <c r="H1158">
        <v>0.88069829128369603</v>
      </c>
      <c r="I1158">
        <v>1.11062858552835</v>
      </c>
      <c r="J1158">
        <v>0.69423231139349795</v>
      </c>
      <c r="K1158">
        <v>1.0755412991178801</v>
      </c>
      <c r="L1158">
        <v>14319.971374597801</v>
      </c>
      <c r="M1158">
        <v>250</v>
      </c>
      <c r="O1158">
        <v>57.276219985113997</v>
      </c>
      <c r="P1158">
        <v>-6.5171979387631598E-2</v>
      </c>
      <c r="Q1158">
        <v>0.94027512603796304</v>
      </c>
      <c r="R1158">
        <v>1.9863276803823899E-2</v>
      </c>
      <c r="S1158" t="s">
        <v>2484</v>
      </c>
      <c r="T1158" t="s">
        <v>2650</v>
      </c>
      <c r="U1158" t="s">
        <v>2650</v>
      </c>
      <c r="V1158" t="s">
        <v>2650</v>
      </c>
      <c r="W1158" t="s">
        <v>3807</v>
      </c>
      <c r="X1158">
        <v>1</v>
      </c>
      <c r="Y1158" t="s">
        <v>5116</v>
      </c>
      <c r="Z1158" t="s">
        <v>6438</v>
      </c>
      <c r="AA1158">
        <v>0.97468242934828264</v>
      </c>
      <c r="AB1158" t="str">
        <f>HYPERLINK("Melting_Curves/meltCurve_Q9BXV9_GON7.pdf", "Melting_Curves/meltCurve_Q9BXV9_GON7.pdf")</f>
        <v>Melting_Curves/meltCurve_Q9BXV9_GON7.pdf</v>
      </c>
    </row>
    <row r="1159" spans="1:28" x14ac:dyDescent="0.25">
      <c r="A1159" t="s">
        <v>1163</v>
      </c>
      <c r="B1159">
        <v>1</v>
      </c>
      <c r="C1159">
        <v>0.53132475593198403</v>
      </c>
      <c r="D1159">
        <v>0.94850326501584004</v>
      </c>
      <c r="E1159">
        <v>1.04086118833646</v>
      </c>
      <c r="F1159">
        <v>0.66797051787676998</v>
      </c>
      <c r="G1159">
        <v>0.73378806491239401</v>
      </c>
      <c r="H1159">
        <v>0.64815413460916804</v>
      </c>
      <c r="I1159">
        <v>0.72913299282343103</v>
      </c>
      <c r="J1159">
        <v>0.40227581302127102</v>
      </c>
      <c r="K1159">
        <v>0.65216266890799801</v>
      </c>
      <c r="L1159">
        <v>187.56514350356801</v>
      </c>
      <c r="M1159">
        <v>2.3817052553076601</v>
      </c>
      <c r="O1159">
        <v>51.757814998884101</v>
      </c>
      <c r="P1159">
        <v>-1.2172638881832501E-2</v>
      </c>
      <c r="Q1159">
        <v>0</v>
      </c>
      <c r="R1159">
        <v>0.30476783196063501</v>
      </c>
      <c r="S1159" t="s">
        <v>2485</v>
      </c>
      <c r="T1159" t="s">
        <v>2650</v>
      </c>
      <c r="U1159" t="s">
        <v>2650</v>
      </c>
      <c r="V1159" t="s">
        <v>2650</v>
      </c>
      <c r="W1159" t="s">
        <v>3808</v>
      </c>
      <c r="X1159">
        <v>1</v>
      </c>
      <c r="Y1159" t="s">
        <v>5117</v>
      </c>
      <c r="Z1159" t="s">
        <v>6439</v>
      </c>
      <c r="AA1159">
        <v>0.73889023697321332</v>
      </c>
      <c r="AB1159" t="str">
        <f>HYPERLINK("Melting_Curves/meltCurve_Q9BY43_CHMP4A.pdf", "Melting_Curves/meltCurve_Q9BY43_CHMP4A.pdf")</f>
        <v>Melting_Curves/meltCurve_Q9BY43_CHMP4A.pdf</v>
      </c>
    </row>
    <row r="1160" spans="1:28" x14ac:dyDescent="0.25">
      <c r="A1160" t="s">
        <v>1164</v>
      </c>
      <c r="B1160">
        <v>1</v>
      </c>
      <c r="C1160">
        <v>0.62608582159896797</v>
      </c>
      <c r="D1160">
        <v>1.1110692170483101</v>
      </c>
      <c r="E1160">
        <v>1.4578650463332199</v>
      </c>
      <c r="F1160">
        <v>0.98570123410241195</v>
      </c>
      <c r="G1160">
        <v>0.97694215235581605</v>
      </c>
      <c r="H1160">
        <v>1.0387342836840301</v>
      </c>
      <c r="I1160">
        <v>1.11945125222965</v>
      </c>
      <c r="J1160">
        <v>0.60514523543657595</v>
      </c>
      <c r="K1160">
        <v>0.88595791580260197</v>
      </c>
      <c r="L1160">
        <v>15000</v>
      </c>
      <c r="M1160">
        <v>229.20786881617599</v>
      </c>
      <c r="O1160">
        <v>65.437773726595495</v>
      </c>
      <c r="P1160">
        <v>-0.22275152494949099</v>
      </c>
      <c r="Q1160">
        <v>0.74562183703954399</v>
      </c>
      <c r="R1160">
        <v>0.230122691955854</v>
      </c>
      <c r="S1160" t="s">
        <v>2486</v>
      </c>
      <c r="T1160" t="s">
        <v>2650</v>
      </c>
      <c r="U1160" t="s">
        <v>2650</v>
      </c>
      <c r="V1160" t="s">
        <v>2650</v>
      </c>
      <c r="W1160" t="s">
        <v>3809</v>
      </c>
      <c r="X1160">
        <v>2</v>
      </c>
      <c r="Y1160" t="s">
        <v>5118</v>
      </c>
      <c r="Z1160" t="s">
        <v>6440</v>
      </c>
      <c r="AA1160">
        <v>0.96139284369398814</v>
      </c>
      <c r="AB1160" t="str">
        <f>HYPERLINK("Melting_Curves/meltCurve_Q9BY67_2_CADM1.pdf", "Melting_Curves/meltCurve_Q9BY67_2_CADM1.pdf")</f>
        <v>Melting_Curves/meltCurve_Q9BY67_2_CADM1.pdf</v>
      </c>
    </row>
    <row r="1161" spans="1:28" x14ac:dyDescent="0.25">
      <c r="A1161" t="s">
        <v>1165</v>
      </c>
      <c r="B1161">
        <v>1</v>
      </c>
      <c r="C1161">
        <v>0.611841394738872</v>
      </c>
      <c r="D1161">
        <v>1.2051994137159601</v>
      </c>
      <c r="E1161">
        <v>1.82195479441487</v>
      </c>
      <c r="F1161">
        <v>1.9361258967831501</v>
      </c>
      <c r="G1161">
        <v>2.1137853891846001</v>
      </c>
      <c r="H1161">
        <v>2.2973848646146702</v>
      </c>
      <c r="I1161">
        <v>2.7641749595001199</v>
      </c>
      <c r="J1161">
        <v>1.6287124893928899</v>
      </c>
      <c r="K1161">
        <v>2.3368047519864201</v>
      </c>
      <c r="L1161">
        <v>11516.666582063999</v>
      </c>
      <c r="M1161">
        <v>250</v>
      </c>
      <c r="O1161">
        <v>46.063702207180903</v>
      </c>
      <c r="P1161">
        <v>0.67840810694815301</v>
      </c>
      <c r="Q1161">
        <v>1.5</v>
      </c>
      <c r="R1161">
        <v>5.9212542106328002E-2</v>
      </c>
      <c r="S1161" t="s">
        <v>2487</v>
      </c>
      <c r="T1161" t="s">
        <v>2650</v>
      </c>
      <c r="U1161" t="s">
        <v>2650</v>
      </c>
      <c r="V1161" t="s">
        <v>2650</v>
      </c>
      <c r="W1161" t="s">
        <v>3810</v>
      </c>
      <c r="X1161">
        <v>1</v>
      </c>
      <c r="Y1161" t="s">
        <v>5119</v>
      </c>
      <c r="Z1161" t="s">
        <v>6441</v>
      </c>
      <c r="AA1161">
        <v>1.3988484713878411</v>
      </c>
      <c r="AB1161" t="str">
        <f>HYPERLINK("Melting_Curves/meltCurve_Q9BYZ8_REG4.pdf", "Melting_Curves/meltCurve_Q9BYZ8_REG4.pdf")</f>
        <v>Melting_Curves/meltCurve_Q9BYZ8_REG4.pdf</v>
      </c>
    </row>
    <row r="1162" spans="1:28" x14ac:dyDescent="0.25">
      <c r="A1162" t="s">
        <v>1166</v>
      </c>
      <c r="B1162">
        <v>1</v>
      </c>
      <c r="C1162">
        <v>0.69977894445979505</v>
      </c>
      <c r="D1162">
        <v>1.1825780602376299</v>
      </c>
      <c r="E1162">
        <v>1.4218361425808199</v>
      </c>
      <c r="F1162">
        <v>1.0992677535230699</v>
      </c>
      <c r="G1162">
        <v>1.19262917933131</v>
      </c>
      <c r="H1162">
        <v>1.01999861840287</v>
      </c>
      <c r="I1162">
        <v>1.2004697430229301</v>
      </c>
      <c r="J1162">
        <v>0.78395274937828097</v>
      </c>
      <c r="K1162">
        <v>1.12496546007184</v>
      </c>
      <c r="L1162">
        <v>11138.481580587701</v>
      </c>
      <c r="M1162">
        <v>250</v>
      </c>
      <c r="O1162">
        <v>44.551075286613802</v>
      </c>
      <c r="P1162">
        <v>0.17988637543925701</v>
      </c>
      <c r="Q1162">
        <v>1.1282261027879401</v>
      </c>
      <c r="R1162">
        <v>0.19784367656989801</v>
      </c>
      <c r="S1162" t="s">
        <v>2488</v>
      </c>
      <c r="T1162" t="s">
        <v>2650</v>
      </c>
      <c r="U1162" t="s">
        <v>2650</v>
      </c>
      <c r="V1162" t="s">
        <v>2650</v>
      </c>
      <c r="W1162" t="s">
        <v>3811</v>
      </c>
      <c r="X1162">
        <v>2</v>
      </c>
      <c r="Y1162" t="s">
        <v>5120</v>
      </c>
      <c r="Z1162" t="s">
        <v>6442</v>
      </c>
      <c r="AA1162">
        <v>1.1087516691134349</v>
      </c>
      <c r="AB1162" t="str">
        <f>HYPERLINK("Melting_Curves/meltCurve_Q9BZR6_RTN4R.pdf", "Melting_Curves/meltCurve_Q9BZR6_RTN4R.pdf")</f>
        <v>Melting_Curves/meltCurve_Q9BZR6_RTN4R.pdf</v>
      </c>
    </row>
    <row r="1163" spans="1:28" x14ac:dyDescent="0.25">
      <c r="A1163" t="s">
        <v>1167</v>
      </c>
      <c r="B1163">
        <v>1</v>
      </c>
      <c r="C1163">
        <v>0.69168448054724196</v>
      </c>
      <c r="D1163">
        <v>0.958458030497364</v>
      </c>
      <c r="E1163">
        <v>1.2418412426963099</v>
      </c>
      <c r="F1163">
        <v>0.82178993872025097</v>
      </c>
      <c r="G1163">
        <v>0.99422830269345897</v>
      </c>
      <c r="H1163">
        <v>0.85335613510047004</v>
      </c>
      <c r="I1163">
        <v>1.0178851360980501</v>
      </c>
      <c r="J1163">
        <v>0.73108165882855902</v>
      </c>
      <c r="K1163">
        <v>1.0904945133247801</v>
      </c>
      <c r="L1163">
        <v>1.0000000000000001E-5</v>
      </c>
      <c r="M1163">
        <v>1.0000000000000001E-5</v>
      </c>
      <c r="Q1163">
        <v>0.88016447635504702</v>
      </c>
      <c r="R1163">
        <v>-7.4748784939515603E-10</v>
      </c>
      <c r="S1163" t="s">
        <v>2489</v>
      </c>
      <c r="T1163" t="s">
        <v>2650</v>
      </c>
      <c r="U1163" t="s">
        <v>2650</v>
      </c>
      <c r="V1163" t="s">
        <v>2650</v>
      </c>
      <c r="W1163" t="s">
        <v>3812</v>
      </c>
      <c r="X1163">
        <v>1</v>
      </c>
      <c r="Y1163" t="s">
        <v>5121</v>
      </c>
      <c r="Z1163" t="s">
        <v>6443</v>
      </c>
      <c r="AA1163">
        <v>0.94008194417720214</v>
      </c>
      <c r="AB1163" t="str">
        <f>HYPERLINK("Melting_Curves/meltCurve_Q9C005_DPY30.pdf", "Melting_Curves/meltCurve_Q9C005_DPY30.pdf")</f>
        <v>Melting_Curves/meltCurve_Q9C005_DPY30.pdf</v>
      </c>
    </row>
    <row r="1164" spans="1:28" x14ac:dyDescent="0.25">
      <c r="A1164" t="s">
        <v>1168</v>
      </c>
      <c r="B1164">
        <v>1</v>
      </c>
      <c r="C1164">
        <v>0.78937853107344602</v>
      </c>
      <c r="D1164">
        <v>1.0163088512241101</v>
      </c>
      <c r="E1164">
        <v>1.00662900188324</v>
      </c>
      <c r="F1164">
        <v>0.775555555555556</v>
      </c>
      <c r="G1164">
        <v>0.77310734463276798</v>
      </c>
      <c r="H1164">
        <v>0.66595103578154402</v>
      </c>
      <c r="I1164">
        <v>0.72531073446327698</v>
      </c>
      <c r="J1164">
        <v>0.498568738229755</v>
      </c>
      <c r="K1164">
        <v>0.64538606403013199</v>
      </c>
      <c r="L1164">
        <v>536.83677820246498</v>
      </c>
      <c r="M1164">
        <v>9.3452021280137192</v>
      </c>
      <c r="O1164">
        <v>54.998781450231697</v>
      </c>
      <c r="P1164">
        <v>-2.0796415676571402E-2</v>
      </c>
      <c r="Q1164">
        <v>0.51074024315561095</v>
      </c>
      <c r="R1164">
        <v>0.70456576638009705</v>
      </c>
      <c r="S1164" t="s">
        <v>2490</v>
      </c>
      <c r="T1164" t="s">
        <v>2650</v>
      </c>
      <c r="U1164" t="s">
        <v>2650</v>
      </c>
      <c r="V1164" t="s">
        <v>2650</v>
      </c>
      <c r="W1164" t="s">
        <v>3813</v>
      </c>
      <c r="X1164">
        <v>2</v>
      </c>
      <c r="Y1164" t="s">
        <v>5122</v>
      </c>
      <c r="Z1164" t="s">
        <v>6444</v>
      </c>
      <c r="AA1164">
        <v>0.80115633705013123</v>
      </c>
      <c r="AB1164" t="str">
        <f>HYPERLINK("Melting_Curves/meltCurve_Q9C0C2_TNKS1BP1.pdf", "Melting_Curves/meltCurve_Q9C0C2_TNKS1BP1.pdf")</f>
        <v>Melting_Curves/meltCurve_Q9C0C2_TNKS1BP1.pdf</v>
      </c>
    </row>
    <row r="1165" spans="1:28" x14ac:dyDescent="0.25">
      <c r="A1165" t="s">
        <v>1169</v>
      </c>
      <c r="B1165">
        <v>1</v>
      </c>
      <c r="C1165">
        <v>0.88664037703183596</v>
      </c>
      <c r="D1165">
        <v>1.1711455227469501</v>
      </c>
      <c r="E1165">
        <v>1.46463402904684</v>
      </c>
      <c r="F1165">
        <v>1.2629027604116601</v>
      </c>
      <c r="G1165">
        <v>1.0865249591228201</v>
      </c>
      <c r="H1165">
        <v>1.08412041935174</v>
      </c>
      <c r="I1165">
        <v>1.3973646244108899</v>
      </c>
      <c r="J1165">
        <v>0.84986053669327699</v>
      </c>
      <c r="K1165">
        <v>1.12967202077522</v>
      </c>
      <c r="L1165">
        <v>11373.786639866899</v>
      </c>
      <c r="M1165">
        <v>250</v>
      </c>
      <c r="O1165">
        <v>45.4922351799026</v>
      </c>
      <c r="P1165">
        <v>0.25025461047790398</v>
      </c>
      <c r="Q1165">
        <v>1.1821542652696999</v>
      </c>
      <c r="R1165">
        <v>0.23220802454891501</v>
      </c>
      <c r="S1165" t="s">
        <v>2491</v>
      </c>
      <c r="T1165" t="s">
        <v>2650</v>
      </c>
      <c r="U1165" t="s">
        <v>2650</v>
      </c>
      <c r="V1165" t="s">
        <v>2650</v>
      </c>
      <c r="W1165" t="s">
        <v>3814</v>
      </c>
      <c r="X1165">
        <v>2</v>
      </c>
      <c r="Y1165" t="s">
        <v>5123</v>
      </c>
      <c r="Z1165" t="s">
        <v>6445</v>
      </c>
      <c r="AA1165">
        <v>1.1487742420071241</v>
      </c>
      <c r="AB1165" t="str">
        <f>HYPERLINK("Melting_Curves/meltCurve_Q9GZM7_3_TINAGL1.pdf", "Melting_Curves/meltCurve_Q9GZM7_3_TINAGL1.pdf")</f>
        <v>Melting_Curves/meltCurve_Q9GZM7_3_TINAGL1.pdf</v>
      </c>
    </row>
    <row r="1166" spans="1:28" x14ac:dyDescent="0.25">
      <c r="A1166" t="s">
        <v>1170</v>
      </c>
      <c r="B1166">
        <v>1</v>
      </c>
      <c r="C1166">
        <v>0.83623243551762605</v>
      </c>
      <c r="D1166">
        <v>1.2058407849319199</v>
      </c>
      <c r="E1166">
        <v>1.49444187753105</v>
      </c>
      <c r="F1166">
        <v>1.10253309053353</v>
      </c>
      <c r="G1166">
        <v>1.2791155926399</v>
      </c>
      <c r="H1166">
        <v>1.16932568695132</v>
      </c>
      <c r="I1166">
        <v>1.3796102519500999</v>
      </c>
      <c r="J1166">
        <v>0.85122169977984896</v>
      </c>
      <c r="K1166">
        <v>1.2569646400130501</v>
      </c>
      <c r="L1166">
        <v>11373.610550880199</v>
      </c>
      <c r="M1166">
        <v>250</v>
      </c>
      <c r="O1166">
        <v>45.491530868881497</v>
      </c>
      <c r="P1166">
        <v>0.30092210096733502</v>
      </c>
      <c r="Q1166">
        <v>1.21903051242976</v>
      </c>
      <c r="R1166">
        <v>0.31344290491537002</v>
      </c>
      <c r="S1166" t="s">
        <v>2492</v>
      </c>
      <c r="T1166" t="s">
        <v>2650</v>
      </c>
      <c r="U1166" t="s">
        <v>2650</v>
      </c>
      <c r="V1166" t="s">
        <v>2650</v>
      </c>
      <c r="W1166" t="s">
        <v>3815</v>
      </c>
      <c r="X1166">
        <v>4</v>
      </c>
      <c r="Y1166" t="s">
        <v>5124</v>
      </c>
      <c r="Z1166" t="s">
        <v>6446</v>
      </c>
      <c r="AA1166">
        <v>1.1788980082088329</v>
      </c>
      <c r="AB1166" t="str">
        <f>HYPERLINK("Melting_Curves/meltCurve_Q9GZN4_PRSS22.pdf", "Melting_Curves/meltCurve_Q9GZN4_PRSS22.pdf")</f>
        <v>Melting_Curves/meltCurve_Q9GZN4_PRSS22.pdf</v>
      </c>
    </row>
    <row r="1167" spans="1:28" x14ac:dyDescent="0.25">
      <c r="A1167" t="s">
        <v>1171</v>
      </c>
      <c r="B1167">
        <v>1</v>
      </c>
      <c r="C1167">
        <v>0.86679835566707597</v>
      </c>
      <c r="D1167">
        <v>1.03176552239603</v>
      </c>
      <c r="E1167">
        <v>1.01692381613368</v>
      </c>
      <c r="F1167">
        <v>0.97586888046553799</v>
      </c>
      <c r="G1167">
        <v>1.13672521488442</v>
      </c>
      <c r="H1167">
        <v>1.0172975281618699</v>
      </c>
      <c r="I1167">
        <v>1.3868987240403601</v>
      </c>
      <c r="J1167">
        <v>1.06967059954087</v>
      </c>
      <c r="K1167">
        <v>1.3420532806577301</v>
      </c>
      <c r="L1167">
        <v>853.52646946193897</v>
      </c>
      <c r="M1167">
        <v>13.5560762337178</v>
      </c>
      <c r="O1167">
        <v>61.639883980758903</v>
      </c>
      <c r="P1167">
        <v>1.9249121391941099E-2</v>
      </c>
      <c r="Q1167">
        <v>1.35005283052879</v>
      </c>
      <c r="R1167">
        <v>0.53324323921371797</v>
      </c>
      <c r="S1167" t="s">
        <v>2493</v>
      </c>
      <c r="T1167" t="s">
        <v>2650</v>
      </c>
      <c r="U1167" t="s">
        <v>2650</v>
      </c>
      <c r="V1167" t="s">
        <v>2650</v>
      </c>
      <c r="W1167" t="s">
        <v>3816</v>
      </c>
      <c r="X1167">
        <v>1</v>
      </c>
      <c r="Y1167" t="s">
        <v>5125</v>
      </c>
      <c r="Z1167" t="s">
        <v>6447</v>
      </c>
      <c r="AA1167">
        <v>1.086726600634746</v>
      </c>
      <c r="AB1167" t="str">
        <f>HYPERLINK("Melting_Curves/meltCurve_Q9GZP0_2_PDGFD.pdf", "Melting_Curves/meltCurve_Q9GZP0_2_PDGFD.pdf")</f>
        <v>Melting_Curves/meltCurve_Q9GZP0_2_PDGFD.pdf</v>
      </c>
    </row>
    <row r="1168" spans="1:28" x14ac:dyDescent="0.25">
      <c r="A1168" t="s">
        <v>1172</v>
      </c>
      <c r="B1168">
        <v>1</v>
      </c>
      <c r="C1168">
        <v>0.76760417386497104</v>
      </c>
      <c r="D1168">
        <v>1.1458779628222</v>
      </c>
      <c r="E1168">
        <v>1.3014304471011</v>
      </c>
      <c r="F1168">
        <v>1.0400110565959499</v>
      </c>
      <c r="G1168">
        <v>1.1003386082509801</v>
      </c>
      <c r="H1168">
        <v>1.05777071384148</v>
      </c>
      <c r="I1168">
        <v>1.2807684334185601</v>
      </c>
      <c r="J1168">
        <v>0.88915762559601996</v>
      </c>
      <c r="K1168">
        <v>1.22776587658075</v>
      </c>
      <c r="L1168">
        <v>11160.292516204699</v>
      </c>
      <c r="M1168">
        <v>250</v>
      </c>
      <c r="O1168">
        <v>44.638322419172297</v>
      </c>
      <c r="P1168">
        <v>0.18257557773501901</v>
      </c>
      <c r="Q1168">
        <v>1.13039785344543</v>
      </c>
      <c r="R1168">
        <v>0.27195975558199897</v>
      </c>
      <c r="S1168" t="s">
        <v>2494</v>
      </c>
      <c r="T1168" t="s">
        <v>2650</v>
      </c>
      <c r="U1168" t="s">
        <v>2650</v>
      </c>
      <c r="V1168" t="s">
        <v>2650</v>
      </c>
      <c r="W1168" t="s">
        <v>3817</v>
      </c>
      <c r="X1168">
        <v>4</v>
      </c>
      <c r="Y1168" t="s">
        <v>5126</v>
      </c>
      <c r="Z1168" t="s">
        <v>6448</v>
      </c>
      <c r="AA1168">
        <v>1.110214350352229</v>
      </c>
      <c r="AB1168" t="str">
        <f>HYPERLINK("Melting_Curves/meltCurve_Q9GZX9_TWSG1.pdf", "Melting_Curves/meltCurve_Q9GZX9_TWSG1.pdf")</f>
        <v>Melting_Curves/meltCurve_Q9GZX9_TWSG1.pdf</v>
      </c>
    </row>
    <row r="1169" spans="1:28" x14ac:dyDescent="0.25">
      <c r="A1169" t="s">
        <v>1173</v>
      </c>
      <c r="B1169">
        <v>1</v>
      </c>
      <c r="C1169">
        <v>0.96575657592049702</v>
      </c>
      <c r="D1169">
        <v>1.24120252914963</v>
      </c>
      <c r="E1169">
        <v>1.54851261288499</v>
      </c>
      <c r="F1169">
        <v>1.28121672603946</v>
      </c>
      <c r="G1169">
        <v>1.3991823643079699</v>
      </c>
      <c r="H1169">
        <v>1.14305995556899</v>
      </c>
      <c r="I1169">
        <v>1.40667516727354</v>
      </c>
      <c r="J1169">
        <v>0.982543083617052</v>
      </c>
      <c r="K1169">
        <v>1.11257607824064</v>
      </c>
      <c r="L1169">
        <v>11398.3718527646</v>
      </c>
      <c r="M1169">
        <v>250</v>
      </c>
      <c r="O1169">
        <v>45.590589997024601</v>
      </c>
      <c r="P1169">
        <v>0.36696303617152198</v>
      </c>
      <c r="Q1169">
        <v>1.26768086273636</v>
      </c>
      <c r="R1169">
        <v>0.34786394837283102</v>
      </c>
      <c r="S1169" t="s">
        <v>2495</v>
      </c>
      <c r="T1169" t="s">
        <v>2650</v>
      </c>
      <c r="U1169" t="s">
        <v>2650</v>
      </c>
      <c r="V1169" t="s">
        <v>2650</v>
      </c>
      <c r="W1169" t="s">
        <v>3818</v>
      </c>
      <c r="X1169">
        <v>1</v>
      </c>
      <c r="Y1169" t="s">
        <v>5127</v>
      </c>
      <c r="Z1169" t="s">
        <v>6449</v>
      </c>
      <c r="AA1169">
        <v>1.2177504594918009</v>
      </c>
      <c r="AB1169" t="str">
        <f>HYPERLINK("Melting_Curves/meltCurve_Q9GZZ8_LACRT.pdf", "Melting_Curves/meltCurve_Q9GZZ8_LACRT.pdf")</f>
        <v>Melting_Curves/meltCurve_Q9GZZ8_LACRT.pdf</v>
      </c>
    </row>
    <row r="1170" spans="1:28" x14ac:dyDescent="0.25">
      <c r="A1170" t="s">
        <v>1174</v>
      </c>
      <c r="B1170">
        <v>1</v>
      </c>
      <c r="C1170">
        <v>0.96307729193514602</v>
      </c>
      <c r="D1170">
        <v>1.3611951928552199</v>
      </c>
      <c r="E1170">
        <v>2.1776006233704002</v>
      </c>
      <c r="F1170">
        <v>1.9949351155333099</v>
      </c>
      <c r="G1170">
        <v>1.9293014055803599</v>
      </c>
      <c r="H1170">
        <v>1.6517817004825099</v>
      </c>
      <c r="I1170">
        <v>2.1530254443012602</v>
      </c>
      <c r="J1170">
        <v>1.2955764677675501</v>
      </c>
      <c r="K1170">
        <v>1.79204003956004</v>
      </c>
      <c r="L1170">
        <v>11456.0079100611</v>
      </c>
      <c r="M1170">
        <v>250</v>
      </c>
      <c r="O1170">
        <v>45.821099100606297</v>
      </c>
      <c r="P1170">
        <v>0.68200022649004299</v>
      </c>
      <c r="Q1170">
        <v>1.5</v>
      </c>
      <c r="R1170">
        <v>0.20681826912908299</v>
      </c>
      <c r="S1170" t="s">
        <v>2496</v>
      </c>
      <c r="T1170" t="s">
        <v>2650</v>
      </c>
      <c r="U1170" t="s">
        <v>2650</v>
      </c>
      <c r="V1170" t="s">
        <v>2650</v>
      </c>
      <c r="W1170" t="s">
        <v>3819</v>
      </c>
      <c r="X1170">
        <v>1</v>
      </c>
      <c r="Y1170" t="s">
        <v>5128</v>
      </c>
      <c r="Z1170" t="s">
        <v>6450</v>
      </c>
      <c r="AA1170">
        <v>1.402892595764752</v>
      </c>
      <c r="AB1170" t="str">
        <f>HYPERLINK("Melting_Curves/meltCurve_Q9H008_LHPP.pdf", "Melting_Curves/meltCurve_Q9H008_LHPP.pdf")</f>
        <v>Melting_Curves/meltCurve_Q9H008_LHPP.pdf</v>
      </c>
    </row>
    <row r="1171" spans="1:28" x14ac:dyDescent="0.25">
      <c r="A1171" t="s">
        <v>1175</v>
      </c>
      <c r="B1171">
        <v>1</v>
      </c>
      <c r="C1171">
        <v>1.04825297249982</v>
      </c>
      <c r="D1171">
        <v>1.3871544241009599</v>
      </c>
      <c r="E1171">
        <v>1.56346195929681</v>
      </c>
      <c r="F1171">
        <v>1.3249689984681601</v>
      </c>
      <c r="G1171">
        <v>1.3279232620906001</v>
      </c>
      <c r="H1171">
        <v>1.1338172003793101</v>
      </c>
      <c r="I1171">
        <v>1.5601794441607699</v>
      </c>
      <c r="J1171">
        <v>0.95006929754176095</v>
      </c>
      <c r="K1171">
        <v>1.1955649573272999</v>
      </c>
      <c r="L1171">
        <v>10796.7784768569</v>
      </c>
      <c r="M1171">
        <v>250</v>
      </c>
      <c r="O1171">
        <v>43.184350264306502</v>
      </c>
      <c r="P1171">
        <v>0.44198946719399301</v>
      </c>
      <c r="Q1171">
        <v>1.3053924467497899</v>
      </c>
      <c r="R1171">
        <v>0.29393598569446799</v>
      </c>
      <c r="S1171" t="s">
        <v>2497</v>
      </c>
      <c r="T1171" t="s">
        <v>2650</v>
      </c>
      <c r="U1171" t="s">
        <v>2650</v>
      </c>
      <c r="V1171" t="s">
        <v>2650</v>
      </c>
      <c r="W1171" t="s">
        <v>3820</v>
      </c>
      <c r="X1171">
        <v>1</v>
      </c>
      <c r="Y1171" t="s">
        <v>5129</v>
      </c>
      <c r="Z1171" t="s">
        <v>6451</v>
      </c>
      <c r="AA1171">
        <v>1.27292528308246</v>
      </c>
      <c r="AB1171" t="str">
        <f>HYPERLINK("Melting_Curves/meltCurve_Q9H074_3_PAIP1.pdf", "Melting_Curves/meltCurve_Q9H074_3_PAIP1.pdf")</f>
        <v>Melting_Curves/meltCurve_Q9H074_3_PAIP1.pdf</v>
      </c>
    </row>
    <row r="1172" spans="1:28" x14ac:dyDescent="0.25">
      <c r="A1172" t="s">
        <v>1176</v>
      </c>
      <c r="B1172">
        <v>1</v>
      </c>
      <c r="C1172">
        <v>0.69299251365751702</v>
      </c>
      <c r="D1172">
        <v>1.11012005125784</v>
      </c>
      <c r="E1172">
        <v>1.2029405813718199</v>
      </c>
      <c r="F1172">
        <v>0.91832467795238404</v>
      </c>
      <c r="G1172">
        <v>0.94673568489917004</v>
      </c>
      <c r="H1172">
        <v>0.861839886693195</v>
      </c>
      <c r="I1172">
        <v>0.997656302691037</v>
      </c>
      <c r="J1172">
        <v>0.55589465164901897</v>
      </c>
      <c r="K1172">
        <v>0.83309165711202504</v>
      </c>
      <c r="L1172">
        <v>1542.28331002102</v>
      </c>
      <c r="M1172">
        <v>24.335835512092</v>
      </c>
      <c r="O1172">
        <v>62.9516843301693</v>
      </c>
      <c r="P1172">
        <v>-2.8608063503570799E-2</v>
      </c>
      <c r="Q1172">
        <v>0.70399217698847005</v>
      </c>
      <c r="R1172">
        <v>0.25939517661140699</v>
      </c>
      <c r="S1172" t="s">
        <v>2498</v>
      </c>
      <c r="T1172" t="s">
        <v>2650</v>
      </c>
      <c r="U1172" t="s">
        <v>2650</v>
      </c>
      <c r="V1172" t="s">
        <v>2650</v>
      </c>
      <c r="W1172" t="s">
        <v>3821</v>
      </c>
      <c r="X1172">
        <v>4</v>
      </c>
      <c r="Y1172" t="s">
        <v>5130</v>
      </c>
      <c r="Z1172" t="s">
        <v>6452</v>
      </c>
      <c r="AA1172">
        <v>0.93487988029796321</v>
      </c>
      <c r="AB1172" t="str">
        <f>HYPERLINK("Melting_Curves/meltCurve_Q9H098_FAM107B.pdf", "Melting_Curves/meltCurve_Q9H098_FAM107B.pdf")</f>
        <v>Melting_Curves/meltCurve_Q9H098_FAM107B.pdf</v>
      </c>
    </row>
    <row r="1173" spans="1:28" x14ac:dyDescent="0.25">
      <c r="A1173" t="s">
        <v>1177</v>
      </c>
      <c r="B1173">
        <v>1</v>
      </c>
      <c r="C1173">
        <v>0.66267263527537501</v>
      </c>
      <c r="D1173">
        <v>1.15041567096362</v>
      </c>
      <c r="E1173">
        <v>1.4127203168299101</v>
      </c>
      <c r="F1173">
        <v>0.99615181806962605</v>
      </c>
      <c r="G1173">
        <v>1.0600787587089</v>
      </c>
      <c r="H1173">
        <v>1.29043115344485</v>
      </c>
      <c r="I1173">
        <v>1.44065609819034</v>
      </c>
      <c r="J1173">
        <v>0.80839868511101398</v>
      </c>
      <c r="K1173">
        <v>1.23848630697946</v>
      </c>
      <c r="L1173">
        <v>11422.196786773</v>
      </c>
      <c r="M1173">
        <v>250</v>
      </c>
      <c r="O1173">
        <v>45.6858634069226</v>
      </c>
      <c r="P1173">
        <v>0.24369122147890299</v>
      </c>
      <c r="Q1173">
        <v>1.1781319013657401</v>
      </c>
      <c r="R1173">
        <v>0.23219150886663101</v>
      </c>
      <c r="S1173" t="s">
        <v>2499</v>
      </c>
      <c r="T1173" t="s">
        <v>2650</v>
      </c>
      <c r="U1173" t="s">
        <v>2650</v>
      </c>
      <c r="V1173" t="s">
        <v>2650</v>
      </c>
      <c r="W1173" t="s">
        <v>3822</v>
      </c>
      <c r="X1173">
        <v>5</v>
      </c>
      <c r="Y1173" t="s">
        <v>5131</v>
      </c>
      <c r="Z1173" t="s">
        <v>6453</v>
      </c>
      <c r="AA1173">
        <v>1.1443391358299499</v>
      </c>
      <c r="AB1173" t="str">
        <f>HYPERLINK("Melting_Curves/meltCurve_Q9H0B8_CRISPLD2.pdf", "Melting_Curves/meltCurve_Q9H0B8_CRISPLD2.pdf")</f>
        <v>Melting_Curves/meltCurve_Q9H0B8_CRISPLD2.pdf</v>
      </c>
    </row>
    <row r="1174" spans="1:28" x14ac:dyDescent="0.25">
      <c r="A1174" t="s">
        <v>1178</v>
      </c>
      <c r="B1174">
        <v>1</v>
      </c>
      <c r="C1174">
        <v>0.67926353748277601</v>
      </c>
      <c r="D1174">
        <v>1.11325456624351</v>
      </c>
      <c r="E1174">
        <v>1.2405816646632899</v>
      </c>
      <c r="F1174">
        <v>1.2883110029611</v>
      </c>
      <c r="G1174">
        <v>1.88929608021343</v>
      </c>
      <c r="H1174">
        <v>2.15048814095986</v>
      </c>
      <c r="I1174">
        <v>2.6855375414113598</v>
      </c>
      <c r="J1174">
        <v>1.7524113870239499</v>
      </c>
      <c r="K1174">
        <v>2.3765281890410201</v>
      </c>
      <c r="L1174">
        <v>1807.46315344562</v>
      </c>
      <c r="M1174">
        <v>35.843991715676303</v>
      </c>
      <c r="O1174">
        <v>50.269655274023599</v>
      </c>
      <c r="P1174">
        <v>8.9129590550834997E-2</v>
      </c>
      <c r="Q1174">
        <v>1.5</v>
      </c>
      <c r="R1174">
        <v>0.234826448886644</v>
      </c>
      <c r="S1174" t="s">
        <v>2500</v>
      </c>
      <c r="T1174" t="s">
        <v>2650</v>
      </c>
      <c r="U1174" t="s">
        <v>2650</v>
      </c>
      <c r="V1174" t="s">
        <v>2650</v>
      </c>
      <c r="W1174" t="s">
        <v>3823</v>
      </c>
      <c r="X1174">
        <v>3</v>
      </c>
      <c r="Y1174" t="s">
        <v>5132</v>
      </c>
      <c r="Z1174" t="s">
        <v>6454</v>
      </c>
      <c r="AA1174">
        <v>1.324061293256322</v>
      </c>
      <c r="AB1174" t="str">
        <f>HYPERLINK("Melting_Curves/meltCurve_Q9H0E2_TOLLIP.pdf", "Melting_Curves/meltCurve_Q9H0E2_TOLLIP.pdf")</f>
        <v>Melting_Curves/meltCurve_Q9H0E2_TOLLIP.pdf</v>
      </c>
    </row>
    <row r="1175" spans="1:28" x14ac:dyDescent="0.25">
      <c r="A1175" t="s">
        <v>1179</v>
      </c>
      <c r="B1175">
        <v>1</v>
      </c>
      <c r="C1175">
        <v>0.66462267878309</v>
      </c>
      <c r="D1175">
        <v>1.16777558277361</v>
      </c>
      <c r="E1175">
        <v>2.0537337020940298</v>
      </c>
      <c r="F1175">
        <v>2.6383247728170698</v>
      </c>
      <c r="G1175">
        <v>4.1569340181746304</v>
      </c>
      <c r="H1175">
        <v>3.4642433820624299</v>
      </c>
      <c r="I1175">
        <v>4.8719083366258404</v>
      </c>
      <c r="J1175">
        <v>3.4681943895693399</v>
      </c>
      <c r="K1175">
        <v>4.2942710391149701</v>
      </c>
      <c r="L1175">
        <v>11531.4264385191</v>
      </c>
      <c r="M1175">
        <v>250</v>
      </c>
      <c r="O1175">
        <v>46.122755498625303</v>
      </c>
      <c r="P1175">
        <v>0.677539767596406</v>
      </c>
      <c r="Q1175">
        <v>1.5</v>
      </c>
      <c r="R1175">
        <v>-0.75810414496157297</v>
      </c>
      <c r="S1175" t="s">
        <v>2501</v>
      </c>
      <c r="T1175" t="s">
        <v>2650</v>
      </c>
      <c r="U1175" t="s">
        <v>2650</v>
      </c>
      <c r="V1175" t="s">
        <v>2650</v>
      </c>
      <c r="W1175" t="s">
        <v>3824</v>
      </c>
      <c r="X1175">
        <v>2</v>
      </c>
      <c r="Y1175" t="s">
        <v>5133</v>
      </c>
      <c r="Z1175" t="s">
        <v>6455</v>
      </c>
      <c r="AA1175">
        <v>1.3978644291508651</v>
      </c>
      <c r="AB1175" t="str">
        <f>HYPERLINK("Melting_Curves/meltCurve_Q9H0W9_3_C11orf54.pdf", "Melting_Curves/meltCurve_Q9H0W9_3_C11orf54.pdf")</f>
        <v>Melting_Curves/meltCurve_Q9H0W9_3_C11orf54.pdf</v>
      </c>
    </row>
    <row r="1176" spans="1:28" x14ac:dyDescent="0.25">
      <c r="A1176" t="s">
        <v>1180</v>
      </c>
      <c r="B1176">
        <v>1</v>
      </c>
      <c r="C1176">
        <v>0.791287958852956</v>
      </c>
      <c r="D1176">
        <v>1.08675051081519</v>
      </c>
      <c r="E1176">
        <v>1.2464595222997299</v>
      </c>
      <c r="F1176">
        <v>0.96820615796519405</v>
      </c>
      <c r="G1176">
        <v>1.0547276826604699</v>
      </c>
      <c r="H1176">
        <v>0.97442401183682104</v>
      </c>
      <c r="I1176">
        <v>1.2046255196223501</v>
      </c>
      <c r="J1176">
        <v>0.85459381385189903</v>
      </c>
      <c r="K1176">
        <v>1.09414852392024</v>
      </c>
      <c r="L1176">
        <v>11146.4578717559</v>
      </c>
      <c r="M1176">
        <v>250</v>
      </c>
      <c r="O1176">
        <v>44.582978327589302</v>
      </c>
      <c r="P1176">
        <v>8.4803204767019399E-2</v>
      </c>
      <c r="Q1176">
        <v>1.06049247092128</v>
      </c>
      <c r="R1176">
        <v>0.120008271959869</v>
      </c>
      <c r="S1176" t="s">
        <v>2502</v>
      </c>
      <c r="T1176" t="s">
        <v>2650</v>
      </c>
      <c r="U1176" t="s">
        <v>2650</v>
      </c>
      <c r="V1176" t="s">
        <v>2650</v>
      </c>
      <c r="W1176" t="s">
        <v>3825</v>
      </c>
      <c r="X1176">
        <v>11</v>
      </c>
      <c r="Y1176" t="s">
        <v>5134</v>
      </c>
      <c r="Z1176" t="s">
        <v>6456</v>
      </c>
      <c r="AA1176">
        <v>1.0512407949443141</v>
      </c>
      <c r="AB1176" t="str">
        <f>HYPERLINK("Melting_Curves/meltCurve_Q9H173_SIL1.pdf", "Melting_Curves/meltCurve_Q9H173_SIL1.pdf")</f>
        <v>Melting_Curves/meltCurve_Q9H173_SIL1.pdf</v>
      </c>
    </row>
    <row r="1177" spans="1:28" x14ac:dyDescent="0.25">
      <c r="A1177" t="s">
        <v>1181</v>
      </c>
      <c r="B1177">
        <v>1</v>
      </c>
      <c r="C1177">
        <v>0.95418534668058697</v>
      </c>
      <c r="D1177">
        <v>1.1308112755634701</v>
      </c>
      <c r="E1177">
        <v>1.4452496468709699</v>
      </c>
      <c r="F1177">
        <v>1.43616041270036</v>
      </c>
      <c r="G1177">
        <v>1.6398698028618801</v>
      </c>
      <c r="H1177">
        <v>2.1961554996008101</v>
      </c>
      <c r="I1177">
        <v>3.5561628692501399</v>
      </c>
      <c r="J1177">
        <v>2.7684087698826998</v>
      </c>
      <c r="K1177">
        <v>3.5734815451698099</v>
      </c>
      <c r="L1177">
        <v>1910.1120998588001</v>
      </c>
      <c r="M1177">
        <v>40.391039594293801</v>
      </c>
      <c r="O1177">
        <v>47.175016042596603</v>
      </c>
      <c r="P1177">
        <v>0.107024662329212</v>
      </c>
      <c r="Q1177">
        <v>1.5</v>
      </c>
      <c r="R1177">
        <v>-0.16715018439091101</v>
      </c>
      <c r="S1177" t="s">
        <v>2503</v>
      </c>
      <c r="T1177" t="s">
        <v>2650</v>
      </c>
      <c r="U1177" t="s">
        <v>2650</v>
      </c>
      <c r="V1177" t="s">
        <v>2650</v>
      </c>
      <c r="W1177" t="s">
        <v>3826</v>
      </c>
      <c r="X1177">
        <v>1</v>
      </c>
      <c r="Y1177" t="s">
        <v>5135</v>
      </c>
      <c r="Z1177" t="s">
        <v>6457</v>
      </c>
      <c r="AA1177">
        <v>1.376880274743207</v>
      </c>
      <c r="AB1177" t="str">
        <f>HYPERLINK("Melting_Curves/meltCurve_Q9H1B5_2_XYLT2.pdf", "Melting_Curves/meltCurve_Q9H1B5_2_XYLT2.pdf")</f>
        <v>Melting_Curves/meltCurve_Q9H1B5_2_XYLT2.pdf</v>
      </c>
    </row>
    <row r="1178" spans="1:28" x14ac:dyDescent="0.25">
      <c r="A1178" t="s">
        <v>1182</v>
      </c>
      <c r="B1178">
        <v>1</v>
      </c>
      <c r="C1178">
        <v>0.84019147565129304</v>
      </c>
      <c r="D1178">
        <v>1.2720703304796099</v>
      </c>
      <c r="E1178">
        <v>1.47385620915033</v>
      </c>
      <c r="F1178">
        <v>1.1199024210623201</v>
      </c>
      <c r="G1178">
        <v>1.1025499401638601</v>
      </c>
      <c r="H1178">
        <v>0.89284727975697298</v>
      </c>
      <c r="I1178">
        <v>1.20671085335543</v>
      </c>
      <c r="J1178">
        <v>0.74500598361410297</v>
      </c>
      <c r="K1178">
        <v>1.0565681671729701</v>
      </c>
      <c r="L1178">
        <v>1826.9116804901</v>
      </c>
      <c r="M1178">
        <v>27.756656260884</v>
      </c>
      <c r="O1178">
        <v>65.480072661217307</v>
      </c>
      <c r="P1178">
        <v>-4.8517263800606902E-3</v>
      </c>
      <c r="Q1178">
        <v>0.954218034810972</v>
      </c>
      <c r="R1178">
        <v>-0.11359178104216799</v>
      </c>
      <c r="S1178" t="s">
        <v>2504</v>
      </c>
      <c r="T1178" t="s">
        <v>2650</v>
      </c>
      <c r="U1178" t="s">
        <v>2650</v>
      </c>
      <c r="V1178" t="s">
        <v>2650</v>
      </c>
      <c r="W1178" t="s">
        <v>3827</v>
      </c>
      <c r="X1178">
        <v>1</v>
      </c>
      <c r="Y1178" t="s">
        <v>5136</v>
      </c>
      <c r="Z1178" t="s">
        <v>6458</v>
      </c>
      <c r="AA1178">
        <v>0.99327725627511021</v>
      </c>
      <c r="AB1178" t="str">
        <f>HYPERLINK("Melting_Curves/meltCurve_Q9H1E1_RNASE7.pdf", "Melting_Curves/meltCurve_Q9H1E1_RNASE7.pdf")</f>
        <v>Melting_Curves/meltCurve_Q9H1E1_RNASE7.pdf</v>
      </c>
    </row>
    <row r="1179" spans="1:28" x14ac:dyDescent="0.25">
      <c r="A1179" t="s">
        <v>1183</v>
      </c>
      <c r="B1179">
        <v>1</v>
      </c>
      <c r="C1179">
        <v>0.74732561776665596</v>
      </c>
      <c r="D1179">
        <v>1.13281201126056</v>
      </c>
      <c r="E1179">
        <v>1.27431967469503</v>
      </c>
      <c r="F1179">
        <v>1.1258680012511699</v>
      </c>
      <c r="G1179">
        <v>1.07419455739756</v>
      </c>
      <c r="H1179">
        <v>0.77322489834219599</v>
      </c>
      <c r="I1179">
        <v>1.36208945886769</v>
      </c>
      <c r="J1179">
        <v>0.74926493587738496</v>
      </c>
      <c r="K1179">
        <v>0.91911166718798898</v>
      </c>
      <c r="L1179">
        <v>1744.75594394463</v>
      </c>
      <c r="M1179">
        <v>24.828346742880299</v>
      </c>
      <c r="O1179">
        <v>69.821621760879196</v>
      </c>
      <c r="P1179">
        <v>-1.9931751452894501E-2</v>
      </c>
      <c r="Q1179">
        <v>0.77579690696232995</v>
      </c>
      <c r="R1179">
        <v>3.5582298411744498E-2</v>
      </c>
      <c r="S1179" t="s">
        <v>2505</v>
      </c>
      <c r="T1179" t="s">
        <v>2650</v>
      </c>
      <c r="U1179" t="s">
        <v>2650</v>
      </c>
      <c r="V1179" t="s">
        <v>2650</v>
      </c>
      <c r="W1179" t="s">
        <v>3828</v>
      </c>
      <c r="X1179">
        <v>1</v>
      </c>
      <c r="Y1179" t="s">
        <v>5137</v>
      </c>
      <c r="Z1179" t="s">
        <v>6459</v>
      </c>
      <c r="AA1179">
        <v>0.98757477489145695</v>
      </c>
      <c r="AB1179" t="str">
        <f>HYPERLINK("Melting_Curves/meltCurve_Q9H1I8_3_ASCC2.pdf", "Melting_Curves/meltCurve_Q9H1I8_3_ASCC2.pdf")</f>
        <v>Melting_Curves/meltCurve_Q9H1I8_3_ASCC2.pdf</v>
      </c>
    </row>
    <row r="1180" spans="1:28" x14ac:dyDescent="0.25">
      <c r="A1180" t="s">
        <v>1184</v>
      </c>
      <c r="B1180">
        <v>1</v>
      </c>
      <c r="C1180">
        <v>0.88436885193882098</v>
      </c>
      <c r="D1180">
        <v>1.16441898838611</v>
      </c>
      <c r="E1180">
        <v>1.2538712952973301</v>
      </c>
      <c r="F1180">
        <v>1.12605508662817</v>
      </c>
      <c r="G1180">
        <v>1.1621342895221201</v>
      </c>
      <c r="H1180">
        <v>1.0847877133972199</v>
      </c>
      <c r="I1180">
        <v>1.21833153519071</v>
      </c>
      <c r="J1180">
        <v>0.84445008567620705</v>
      </c>
      <c r="K1180">
        <v>1.0511518690106001</v>
      </c>
      <c r="L1180">
        <v>11118.3209822602</v>
      </c>
      <c r="M1180">
        <v>250</v>
      </c>
      <c r="O1180">
        <v>44.470452598412798</v>
      </c>
      <c r="P1180">
        <v>0.15902492149734301</v>
      </c>
      <c r="Q1180">
        <v>1.11315052648156</v>
      </c>
      <c r="R1180">
        <v>0.24089866223638501</v>
      </c>
      <c r="S1180" t="s">
        <v>2506</v>
      </c>
      <c r="T1180" t="s">
        <v>2650</v>
      </c>
      <c r="U1180" t="s">
        <v>2650</v>
      </c>
      <c r="V1180" t="s">
        <v>2650</v>
      </c>
      <c r="W1180" t="s">
        <v>3829</v>
      </c>
      <c r="X1180">
        <v>1</v>
      </c>
      <c r="Y1180" t="s">
        <v>5138</v>
      </c>
      <c r="Z1180" t="s">
        <v>6460</v>
      </c>
      <c r="AA1180">
        <v>1.0962698807028091</v>
      </c>
      <c r="AB1180" t="str">
        <f>HYPERLINK("Melting_Curves/meltCurve_Q9H1U4_MEGF9.pdf", "Melting_Curves/meltCurve_Q9H1U4_MEGF9.pdf")</f>
        <v>Melting_Curves/meltCurve_Q9H1U4_MEGF9.pdf</v>
      </c>
    </row>
    <row r="1181" spans="1:28" x14ac:dyDescent="0.25">
      <c r="A1181" t="s">
        <v>1185</v>
      </c>
      <c r="B1181">
        <v>1</v>
      </c>
      <c r="C1181">
        <v>0.73322315398584004</v>
      </c>
      <c r="D1181">
        <v>1.1645344922568399</v>
      </c>
      <c r="E1181">
        <v>1.2471077921283</v>
      </c>
      <c r="F1181">
        <v>0.99185897043520799</v>
      </c>
      <c r="G1181">
        <v>1.0245455101915899</v>
      </c>
      <c r="H1181">
        <v>1.0149762298259599</v>
      </c>
      <c r="I1181">
        <v>1.0358490951010999</v>
      </c>
      <c r="J1181">
        <v>0.62777743771806305</v>
      </c>
      <c r="K1181">
        <v>0.88480137112076895</v>
      </c>
      <c r="L1181">
        <v>15000</v>
      </c>
      <c r="M1181">
        <v>229.74395683188499</v>
      </c>
      <c r="O1181">
        <v>65.285124735263494</v>
      </c>
      <c r="P1181">
        <v>-0.21439015760421401</v>
      </c>
      <c r="Q1181">
        <v>0.75631152466388396</v>
      </c>
      <c r="R1181">
        <v>0.36260784229082199</v>
      </c>
      <c r="S1181" t="s">
        <v>2507</v>
      </c>
      <c r="T1181" t="s">
        <v>2650</v>
      </c>
      <c r="U1181" t="s">
        <v>2650</v>
      </c>
      <c r="V1181" t="s">
        <v>2650</v>
      </c>
      <c r="W1181" t="s">
        <v>3830</v>
      </c>
      <c r="X1181">
        <v>1</v>
      </c>
      <c r="Y1181" t="s">
        <v>5139</v>
      </c>
      <c r="Z1181" t="s">
        <v>6461</v>
      </c>
      <c r="AA1181">
        <v>0.96177457670834132</v>
      </c>
      <c r="AB1181" t="str">
        <f>HYPERLINK("Melting_Curves/meltCurve_Q9H299_SH3BGRL3.pdf", "Melting_Curves/meltCurve_Q9H299_SH3BGRL3.pdf")</f>
        <v>Melting_Curves/meltCurve_Q9H299_SH3BGRL3.pdf</v>
      </c>
    </row>
    <row r="1182" spans="1:28" x14ac:dyDescent="0.25">
      <c r="A1182" t="s">
        <v>1186</v>
      </c>
      <c r="B1182">
        <v>1</v>
      </c>
      <c r="C1182">
        <v>0.86412356848840499</v>
      </c>
      <c r="D1182">
        <v>1.5397970412030799</v>
      </c>
      <c r="E1182">
        <v>1.8753718873537899</v>
      </c>
      <c r="F1182">
        <v>1.43872519052859</v>
      </c>
      <c r="G1182">
        <v>1.43982556954803</v>
      </c>
      <c r="H1182">
        <v>1.36858621673391</v>
      </c>
      <c r="I1182">
        <v>1.66312100093736</v>
      </c>
      <c r="J1182">
        <v>0.95097200146717198</v>
      </c>
      <c r="K1182">
        <v>1.3617394139462899</v>
      </c>
      <c r="L1182">
        <v>11110.8370659503</v>
      </c>
      <c r="M1182">
        <v>250</v>
      </c>
      <c r="O1182">
        <v>44.4405041564561</v>
      </c>
      <c r="P1182">
        <v>0.63958399577716296</v>
      </c>
      <c r="Q1182">
        <v>1.4547749633156699</v>
      </c>
      <c r="R1182">
        <v>0.453127165844536</v>
      </c>
      <c r="S1182" t="s">
        <v>2508</v>
      </c>
      <c r="T1182" t="s">
        <v>2650</v>
      </c>
      <c r="U1182" t="s">
        <v>2650</v>
      </c>
      <c r="V1182" t="s">
        <v>2650</v>
      </c>
      <c r="W1182" t="s">
        <v>3831</v>
      </c>
      <c r="X1182">
        <v>4</v>
      </c>
      <c r="Y1182" t="s">
        <v>5140</v>
      </c>
      <c r="Z1182" t="s">
        <v>6462</v>
      </c>
      <c r="AA1182">
        <v>1.3873820406023569</v>
      </c>
      <c r="AB1182" t="str">
        <f>HYPERLINK("Melting_Curves/meltCurve_Q9H336_CRISPLD1.pdf", "Melting_Curves/meltCurve_Q9H336_CRISPLD1.pdf")</f>
        <v>Melting_Curves/meltCurve_Q9H336_CRISPLD1.pdf</v>
      </c>
    </row>
    <row r="1183" spans="1:28" x14ac:dyDescent="0.25">
      <c r="A1183" t="s">
        <v>1187</v>
      </c>
      <c r="B1183">
        <v>1</v>
      </c>
      <c r="C1183">
        <v>1.0562169312169301</v>
      </c>
      <c r="D1183">
        <v>1.7557760141093499</v>
      </c>
      <c r="E1183">
        <v>2.1458553791887098</v>
      </c>
      <c r="F1183">
        <v>2.0110229276895901</v>
      </c>
      <c r="G1183">
        <v>2.2346119929453301</v>
      </c>
      <c r="H1183">
        <v>3.1193121693121699</v>
      </c>
      <c r="I1183">
        <v>4.8236331569664896</v>
      </c>
      <c r="J1183">
        <v>3.3074514991181698</v>
      </c>
      <c r="K1183">
        <v>4.3277777777777802</v>
      </c>
      <c r="L1183">
        <v>10813.635785800099</v>
      </c>
      <c r="M1183">
        <v>250</v>
      </c>
      <c r="O1183">
        <v>43.251773621376103</v>
      </c>
      <c r="P1183">
        <v>0.72251369880995397</v>
      </c>
      <c r="Q1183">
        <v>1.5</v>
      </c>
      <c r="R1183">
        <v>-0.74329185815277699</v>
      </c>
      <c r="S1183" t="s">
        <v>2509</v>
      </c>
      <c r="T1183" t="s">
        <v>2650</v>
      </c>
      <c r="U1183" t="s">
        <v>2650</v>
      </c>
      <c r="V1183" t="s">
        <v>2650</v>
      </c>
      <c r="W1183" t="s">
        <v>3832</v>
      </c>
      <c r="X1183">
        <v>1</v>
      </c>
      <c r="Y1183" t="s">
        <v>5141</v>
      </c>
      <c r="Z1183" t="s">
        <v>6463</v>
      </c>
      <c r="AA1183">
        <v>1.4457196587513921</v>
      </c>
      <c r="AB1183" t="str">
        <f>HYPERLINK("Melting_Curves/meltCurve_Q9H3S1_SEMA4A.pdf", "Melting_Curves/meltCurve_Q9H3S1_SEMA4A.pdf")</f>
        <v>Melting_Curves/meltCurve_Q9H3S1_SEMA4A.pdf</v>
      </c>
    </row>
    <row r="1184" spans="1:28" x14ac:dyDescent="0.25">
      <c r="A1184" t="s">
        <v>1188</v>
      </c>
      <c r="B1184">
        <v>1</v>
      </c>
      <c r="C1184">
        <v>0.75249406175772005</v>
      </c>
      <c r="D1184">
        <v>0.97020699015948397</v>
      </c>
      <c r="E1184">
        <v>1.0658296572785899</v>
      </c>
      <c r="F1184">
        <v>0.88666440447913097</v>
      </c>
      <c r="G1184">
        <v>0.85897522904648804</v>
      </c>
      <c r="H1184">
        <v>0.84859178825924697</v>
      </c>
      <c r="I1184">
        <v>0.95697319307770601</v>
      </c>
      <c r="J1184">
        <v>0.59525619273837804</v>
      </c>
      <c r="K1184">
        <v>0.79891414998303401</v>
      </c>
      <c r="L1184">
        <v>254.06766158348299</v>
      </c>
      <c r="M1184">
        <v>2.5102191391926101</v>
      </c>
      <c r="O1184">
        <v>68.404058175923794</v>
      </c>
      <c r="P1184">
        <v>-9.6385975484983306E-3</v>
      </c>
      <c r="Q1184">
        <v>0</v>
      </c>
      <c r="R1184">
        <v>0.25525807071953299</v>
      </c>
      <c r="S1184" t="s">
        <v>2510</v>
      </c>
      <c r="T1184" t="s">
        <v>2650</v>
      </c>
      <c r="U1184" t="s">
        <v>2650</v>
      </c>
      <c r="V1184" t="s">
        <v>2650</v>
      </c>
      <c r="W1184" t="s">
        <v>3833</v>
      </c>
      <c r="X1184">
        <v>1</v>
      </c>
      <c r="Y1184" t="s">
        <v>5142</v>
      </c>
      <c r="Z1184" t="s">
        <v>6464</v>
      </c>
      <c r="AA1184">
        <v>0.88313609796271642</v>
      </c>
      <c r="AB1184" t="str">
        <f>HYPERLINK("Melting_Curves/meltCurve_Q9H444_CHMP4B.pdf", "Melting_Curves/meltCurve_Q9H444_CHMP4B.pdf")</f>
        <v>Melting_Curves/meltCurve_Q9H444_CHMP4B.pdf</v>
      </c>
    </row>
    <row r="1185" spans="1:28" x14ac:dyDescent="0.25">
      <c r="A1185" t="s">
        <v>1189</v>
      </c>
      <c r="B1185">
        <v>1</v>
      </c>
      <c r="C1185">
        <v>0.83635683560875296</v>
      </c>
      <c r="D1185">
        <v>1.3138208341125901</v>
      </c>
      <c r="E1185">
        <v>1.4822641979926401</v>
      </c>
      <c r="F1185">
        <v>1.09525590673898</v>
      </c>
      <c r="G1185">
        <v>1.14886852440621</v>
      </c>
      <c r="H1185">
        <v>1.05772707437192</v>
      </c>
      <c r="I1185">
        <v>1.3287201546038301</v>
      </c>
      <c r="J1185">
        <v>0.832554080169565</v>
      </c>
      <c r="K1185">
        <v>1.15878062464934</v>
      </c>
      <c r="L1185">
        <v>11104.128037324201</v>
      </c>
      <c r="M1185">
        <v>250</v>
      </c>
      <c r="O1185">
        <v>44.413669802850499</v>
      </c>
      <c r="P1185">
        <v>0.24942613962474999</v>
      </c>
      <c r="Q1185">
        <v>1.1772468830173899</v>
      </c>
      <c r="R1185">
        <v>0.23710075868538599</v>
      </c>
      <c r="S1185" t="s">
        <v>2511</v>
      </c>
      <c r="T1185" t="s">
        <v>2650</v>
      </c>
      <c r="U1185" t="s">
        <v>2650</v>
      </c>
      <c r="V1185" t="s">
        <v>2650</v>
      </c>
      <c r="W1185" t="s">
        <v>3834</v>
      </c>
      <c r="X1185">
        <v>1</v>
      </c>
      <c r="Y1185" t="s">
        <v>5143</v>
      </c>
      <c r="Z1185" t="s">
        <v>6465</v>
      </c>
      <c r="AA1185">
        <v>1.1511392994961811</v>
      </c>
      <c r="AB1185" t="str">
        <f>HYPERLINK("Melting_Curves/meltCurve_Q9H461_FZD8.pdf", "Melting_Curves/meltCurve_Q9H461_FZD8.pdf")</f>
        <v>Melting_Curves/meltCurve_Q9H461_FZD8.pdf</v>
      </c>
    </row>
    <row r="1186" spans="1:28" x14ac:dyDescent="0.25">
      <c r="A1186" t="s">
        <v>1190</v>
      </c>
      <c r="B1186">
        <v>1</v>
      </c>
      <c r="C1186">
        <v>0.96548730193184296</v>
      </c>
      <c r="D1186">
        <v>1.3305838940742301</v>
      </c>
      <c r="E1186">
        <v>1.3711742999782901</v>
      </c>
      <c r="F1186">
        <v>1.37963967874973</v>
      </c>
      <c r="G1186">
        <v>1.3479487736053799</v>
      </c>
      <c r="H1186">
        <v>1.3488170175819401</v>
      </c>
      <c r="I1186">
        <v>1.8236379422617801</v>
      </c>
      <c r="J1186">
        <v>1.36346863468635</v>
      </c>
      <c r="K1186">
        <v>1.77132624267419</v>
      </c>
      <c r="L1186">
        <v>777.24308890054397</v>
      </c>
      <c r="M1186">
        <v>16.566911312181599</v>
      </c>
      <c r="O1186">
        <v>46.2478196616348</v>
      </c>
      <c r="P1186">
        <v>4.47806251084693E-2</v>
      </c>
      <c r="Q1186">
        <v>1.5</v>
      </c>
      <c r="R1186">
        <v>0.59651697153841798</v>
      </c>
      <c r="S1186" t="s">
        <v>2512</v>
      </c>
      <c r="T1186" t="s">
        <v>2650</v>
      </c>
      <c r="U1186" t="s">
        <v>2650</v>
      </c>
      <c r="V1186" t="s">
        <v>2650</v>
      </c>
      <c r="W1186" t="s">
        <v>3835</v>
      </c>
      <c r="X1186">
        <v>1</v>
      </c>
      <c r="Y1186" t="s">
        <v>5144</v>
      </c>
      <c r="Z1186" t="s">
        <v>6466</v>
      </c>
      <c r="AA1186">
        <v>1.373660050321184</v>
      </c>
      <c r="AB1186" t="str">
        <f>HYPERLINK("Melting_Curves/meltCurve_Q9H4A4_RNPEP.pdf", "Melting_Curves/meltCurve_Q9H4A4_RNPEP.pdf")</f>
        <v>Melting_Curves/meltCurve_Q9H4A4_RNPEP.pdf</v>
      </c>
    </row>
    <row r="1187" spans="1:28" x14ac:dyDescent="0.25">
      <c r="A1187" t="s">
        <v>1191</v>
      </c>
      <c r="B1187">
        <v>1</v>
      </c>
      <c r="C1187">
        <v>0.84766874263591996</v>
      </c>
      <c r="D1187">
        <v>1.2435616899511901</v>
      </c>
      <c r="E1187">
        <v>1.4839252651068799</v>
      </c>
      <c r="F1187">
        <v>1.39496717724289</v>
      </c>
      <c r="G1187">
        <v>1.6213600403972399</v>
      </c>
      <c r="H1187">
        <v>1.73219996633563</v>
      </c>
      <c r="I1187">
        <v>2.4126409695337498</v>
      </c>
      <c r="J1187">
        <v>1.8462380070695199</v>
      </c>
      <c r="K1187">
        <v>2.5021881838074398</v>
      </c>
      <c r="L1187">
        <v>11502.3698253885</v>
      </c>
      <c r="M1187">
        <v>250</v>
      </c>
      <c r="O1187">
        <v>46.006534929393197</v>
      </c>
      <c r="P1187">
        <v>0.67925132889472795</v>
      </c>
      <c r="Q1187">
        <v>1.5</v>
      </c>
      <c r="R1187">
        <v>0.225660443617131</v>
      </c>
      <c r="S1187" t="s">
        <v>2513</v>
      </c>
      <c r="T1187" t="s">
        <v>2650</v>
      </c>
      <c r="U1187" t="s">
        <v>2650</v>
      </c>
      <c r="V1187" t="s">
        <v>2650</v>
      </c>
      <c r="W1187" t="s">
        <v>3836</v>
      </c>
      <c r="X1187">
        <v>2</v>
      </c>
      <c r="Y1187" t="s">
        <v>5145</v>
      </c>
      <c r="Z1187" t="s">
        <v>6467</v>
      </c>
      <c r="AA1187">
        <v>1.3998016386807131</v>
      </c>
      <c r="AB1187" t="str">
        <f>HYPERLINK("Melting_Curves/meltCurve_Q9H4D0_CLSTN2.pdf", "Melting_Curves/meltCurve_Q9H4D0_CLSTN2.pdf")</f>
        <v>Melting_Curves/meltCurve_Q9H4D0_CLSTN2.pdf</v>
      </c>
    </row>
    <row r="1188" spans="1:28" x14ac:dyDescent="0.25">
      <c r="A1188" t="s">
        <v>1192</v>
      </c>
      <c r="B1188">
        <v>1</v>
      </c>
      <c r="C1188">
        <v>0.78162618796198502</v>
      </c>
      <c r="D1188">
        <v>1.1074445617740201</v>
      </c>
      <c r="E1188">
        <v>1.3027983104540699</v>
      </c>
      <c r="F1188">
        <v>1.1001055966209099</v>
      </c>
      <c r="G1188">
        <v>0.94794086589229098</v>
      </c>
      <c r="H1188">
        <v>1.0008975712777199</v>
      </c>
      <c r="I1188">
        <v>1.1674762407603001</v>
      </c>
      <c r="J1188">
        <v>0.668215417106653</v>
      </c>
      <c r="K1188">
        <v>1.0047518479408699</v>
      </c>
      <c r="L1188">
        <v>3986.0199774591401</v>
      </c>
      <c r="M1188">
        <v>60.939736713688603</v>
      </c>
      <c r="O1188">
        <v>65.338882978636306</v>
      </c>
      <c r="P1188">
        <v>-3.3605289021934298E-2</v>
      </c>
      <c r="Q1188">
        <v>0.85587524308598595</v>
      </c>
      <c r="R1188">
        <v>0.10252349847898901</v>
      </c>
      <c r="S1188" t="s">
        <v>2514</v>
      </c>
      <c r="T1188" t="s">
        <v>2650</v>
      </c>
      <c r="U1188" t="s">
        <v>2650</v>
      </c>
      <c r="V1188" t="s">
        <v>2650</v>
      </c>
      <c r="W1188" t="s">
        <v>3837</v>
      </c>
      <c r="X1188">
        <v>2</v>
      </c>
      <c r="Y1188" t="s">
        <v>5146</v>
      </c>
      <c r="Z1188" t="s">
        <v>6468</v>
      </c>
      <c r="AA1188">
        <v>0.97811297241939854</v>
      </c>
      <c r="AB1188" t="str">
        <f>HYPERLINK("Melting_Curves/meltCurve_Q9H5N1_2_RABEP2.pdf", "Melting_Curves/meltCurve_Q9H5N1_2_RABEP2.pdf")</f>
        <v>Melting_Curves/meltCurve_Q9H5N1_2_RABEP2.pdf</v>
      </c>
    </row>
    <row r="1189" spans="1:28" x14ac:dyDescent="0.25">
      <c r="A1189" t="s">
        <v>1193</v>
      </c>
      <c r="B1189">
        <v>1</v>
      </c>
      <c r="C1189">
        <v>0.58944817052925202</v>
      </c>
      <c r="D1189">
        <v>1.0419516568165199</v>
      </c>
      <c r="E1189">
        <v>1.1996812537353101</v>
      </c>
      <c r="F1189">
        <v>0.89139385085331002</v>
      </c>
      <c r="G1189">
        <v>1.11210903778471</v>
      </c>
      <c r="H1189">
        <v>0.93581911149478703</v>
      </c>
      <c r="I1189">
        <v>1.3045520950926399</v>
      </c>
      <c r="J1189">
        <v>0.78385018925559502</v>
      </c>
      <c r="K1189">
        <v>1.07176771365961</v>
      </c>
      <c r="L1189">
        <v>11318.653902701801</v>
      </c>
      <c r="M1189">
        <v>250</v>
      </c>
      <c r="O1189">
        <v>45.271718142225097</v>
      </c>
      <c r="P1189">
        <v>5.9007870494306801E-2</v>
      </c>
      <c r="Q1189">
        <v>1.04274220303164</v>
      </c>
      <c r="R1189">
        <v>3.6739606063584403E-2</v>
      </c>
      <c r="S1189" t="s">
        <v>2515</v>
      </c>
      <c r="T1189" t="s">
        <v>2650</v>
      </c>
      <c r="U1189" t="s">
        <v>2650</v>
      </c>
      <c r="V1189" t="s">
        <v>2650</v>
      </c>
      <c r="W1189" t="s">
        <v>3838</v>
      </c>
      <c r="X1189">
        <v>1</v>
      </c>
      <c r="Y1189" t="s">
        <v>5147</v>
      </c>
      <c r="Z1189" t="s">
        <v>6469</v>
      </c>
      <c r="AA1189">
        <v>1.0352238505182849</v>
      </c>
      <c r="AB1189" t="str">
        <f>HYPERLINK("Melting_Curves/meltCurve_Q9H5V8_3_CDCP1.pdf", "Melting_Curves/meltCurve_Q9H5V8_3_CDCP1.pdf")</f>
        <v>Melting_Curves/meltCurve_Q9H5V8_3_CDCP1.pdf</v>
      </c>
    </row>
    <row r="1190" spans="1:28" x14ac:dyDescent="0.25">
      <c r="A1190" t="s">
        <v>1194</v>
      </c>
      <c r="B1190">
        <v>1</v>
      </c>
      <c r="C1190">
        <v>0.931728665207877</v>
      </c>
      <c r="D1190">
        <v>1.15764437256208</v>
      </c>
      <c r="E1190">
        <v>1.5001427076396201</v>
      </c>
      <c r="F1190">
        <v>1.1958900199790701</v>
      </c>
      <c r="G1190">
        <v>1.2486918466368599</v>
      </c>
      <c r="H1190">
        <v>1.18894491485111</v>
      </c>
      <c r="I1190">
        <v>1.3481115022357499</v>
      </c>
      <c r="J1190">
        <v>1.0305394348777499</v>
      </c>
      <c r="K1190">
        <v>1.34858719436781</v>
      </c>
      <c r="L1190">
        <v>11482.687247492</v>
      </c>
      <c r="M1190">
        <v>250</v>
      </c>
      <c r="O1190">
        <v>45.927810430450698</v>
      </c>
      <c r="P1190">
        <v>0.36176875715851797</v>
      </c>
      <c r="Q1190">
        <v>1.26584394599071</v>
      </c>
      <c r="R1190">
        <v>0.49921569989605902</v>
      </c>
      <c r="S1190" t="s">
        <v>2516</v>
      </c>
      <c r="T1190" t="s">
        <v>2650</v>
      </c>
      <c r="U1190" t="s">
        <v>2650</v>
      </c>
      <c r="V1190" t="s">
        <v>2650</v>
      </c>
      <c r="W1190" t="s">
        <v>3839</v>
      </c>
      <c r="X1190">
        <v>1</v>
      </c>
      <c r="Y1190" t="s">
        <v>5148</v>
      </c>
      <c r="Z1190" t="s">
        <v>6470</v>
      </c>
      <c r="AA1190">
        <v>1.2132673931026861</v>
      </c>
      <c r="AB1190" t="str">
        <f>HYPERLINK("Melting_Curves/meltCurve_Q9H6B4_CLMP.pdf", "Melting_Curves/meltCurve_Q9H6B4_CLMP.pdf")</f>
        <v>Melting_Curves/meltCurve_Q9H6B4_CLMP.pdf</v>
      </c>
    </row>
    <row r="1191" spans="1:28" x14ac:dyDescent="0.25">
      <c r="A1191" t="s">
        <v>1195</v>
      </c>
      <c r="B1191">
        <v>1</v>
      </c>
      <c r="C1191">
        <v>0.68870180959874105</v>
      </c>
      <c r="D1191">
        <v>1.0717859952793101</v>
      </c>
      <c r="E1191">
        <v>1.20064516129032</v>
      </c>
      <c r="F1191">
        <v>0.83140833988985097</v>
      </c>
      <c r="G1191">
        <v>0.95949645948072404</v>
      </c>
      <c r="H1191">
        <v>0.88347757671125104</v>
      </c>
      <c r="I1191">
        <v>1.00950432730134</v>
      </c>
      <c r="J1191">
        <v>0.63282454760031503</v>
      </c>
      <c r="K1191">
        <v>0.87896144767899298</v>
      </c>
      <c r="L1191">
        <v>890.347792165285</v>
      </c>
      <c r="M1191">
        <v>14.0960984795801</v>
      </c>
      <c r="O1191">
        <v>61.932257454582299</v>
      </c>
      <c r="P1191">
        <v>-1.4376914343119E-2</v>
      </c>
      <c r="Q1191">
        <v>0.74736832939945197</v>
      </c>
      <c r="R1191">
        <v>0.115619917380982</v>
      </c>
      <c r="S1191" t="s">
        <v>2517</v>
      </c>
      <c r="T1191" t="s">
        <v>2650</v>
      </c>
      <c r="U1191" t="s">
        <v>2650</v>
      </c>
      <c r="V1191" t="s">
        <v>2650</v>
      </c>
      <c r="W1191" t="s">
        <v>3840</v>
      </c>
      <c r="X1191">
        <v>3</v>
      </c>
      <c r="Y1191" t="s">
        <v>5149</v>
      </c>
      <c r="Z1191" t="s">
        <v>6471</v>
      </c>
      <c r="AA1191">
        <v>0.93915380246109026</v>
      </c>
      <c r="AB1191" t="str">
        <f>HYPERLINK("Melting_Curves/meltCurve_Q9H741_C12orf49.pdf", "Melting_Curves/meltCurve_Q9H741_C12orf49.pdf")</f>
        <v>Melting_Curves/meltCurve_Q9H741_C12orf49.pdf</v>
      </c>
    </row>
    <row r="1192" spans="1:28" x14ac:dyDescent="0.25">
      <c r="A1192" t="s">
        <v>1196</v>
      </c>
      <c r="B1192">
        <v>1</v>
      </c>
      <c r="C1192">
        <v>0.86659854677565895</v>
      </c>
      <c r="D1192">
        <v>1.1372615803814701</v>
      </c>
      <c r="E1192">
        <v>1.2763396911898299</v>
      </c>
      <c r="F1192">
        <v>1.0562556766575799</v>
      </c>
      <c r="G1192">
        <v>1.03905540417802</v>
      </c>
      <c r="H1192">
        <v>0.96821071752951904</v>
      </c>
      <c r="I1192">
        <v>1.07078792007266</v>
      </c>
      <c r="J1192">
        <v>0.76850590372388705</v>
      </c>
      <c r="K1192">
        <v>1.0168029064486801</v>
      </c>
      <c r="L1192">
        <v>3122.8855298333201</v>
      </c>
      <c r="M1192">
        <v>48.068020572639398</v>
      </c>
      <c r="O1192">
        <v>64.855899981787303</v>
      </c>
      <c r="P1192">
        <v>-1.6266506160154601E-2</v>
      </c>
      <c r="Q1192">
        <v>0.912209586798852</v>
      </c>
      <c r="R1192">
        <v>5.2705329094431E-2</v>
      </c>
      <c r="S1192" t="s">
        <v>2518</v>
      </c>
      <c r="T1192" t="s">
        <v>2650</v>
      </c>
      <c r="U1192" t="s">
        <v>2650</v>
      </c>
      <c r="V1192" t="s">
        <v>2650</v>
      </c>
      <c r="W1192" t="s">
        <v>3841</v>
      </c>
      <c r="X1192">
        <v>4</v>
      </c>
      <c r="Y1192" t="s">
        <v>5150</v>
      </c>
      <c r="Z1192" t="s">
        <v>6472</v>
      </c>
      <c r="AA1192">
        <v>0.98539743910662836</v>
      </c>
      <c r="AB1192" t="str">
        <f>HYPERLINK("Melting_Curves/meltCurve_Q9H8J5_MANSC1.pdf", "Melting_Curves/meltCurve_Q9H8J5_MANSC1.pdf")</f>
        <v>Melting_Curves/meltCurve_Q9H8J5_MANSC1.pdf</v>
      </c>
    </row>
    <row r="1193" spans="1:28" x14ac:dyDescent="0.25">
      <c r="A1193" t="s">
        <v>1197</v>
      </c>
      <c r="B1193">
        <v>1</v>
      </c>
      <c r="C1193">
        <v>0.89915524685564097</v>
      </c>
      <c r="D1193">
        <v>1.2293223202553001</v>
      </c>
      <c r="E1193">
        <v>1.86904449033227</v>
      </c>
      <c r="F1193">
        <v>1.8372442275201799</v>
      </c>
      <c r="G1193">
        <v>2.0703960953632401</v>
      </c>
      <c r="H1193">
        <v>1.8034916463300199</v>
      </c>
      <c r="I1193">
        <v>2.33166885676741</v>
      </c>
      <c r="J1193">
        <v>2.1026468931856601</v>
      </c>
      <c r="K1193">
        <v>2.3554345785620399</v>
      </c>
      <c r="L1193">
        <v>11507.626810506399</v>
      </c>
      <c r="M1193">
        <v>250</v>
      </c>
      <c r="O1193">
        <v>46.027561351025298</v>
      </c>
      <c r="P1193">
        <v>0.67894102910925402</v>
      </c>
      <c r="Q1193">
        <v>1.5</v>
      </c>
      <c r="R1193">
        <v>1.9851610641587102E-2</v>
      </c>
      <c r="S1193" t="s">
        <v>2519</v>
      </c>
      <c r="T1193" t="s">
        <v>2650</v>
      </c>
      <c r="U1193" t="s">
        <v>2650</v>
      </c>
      <c r="V1193" t="s">
        <v>2650</v>
      </c>
      <c r="W1193" t="s">
        <v>3842</v>
      </c>
      <c r="X1193">
        <v>1</v>
      </c>
      <c r="Y1193" t="s">
        <v>5151</v>
      </c>
      <c r="Z1193" t="s">
        <v>6473</v>
      </c>
      <c r="AA1193">
        <v>1.399451154554332</v>
      </c>
      <c r="AB1193" t="str">
        <f>HYPERLINK("Melting_Curves/meltCurve_Q9H8M7_2_MINDY3.pdf", "Melting_Curves/meltCurve_Q9H8M7_2_MINDY3.pdf")</f>
        <v>Melting_Curves/meltCurve_Q9H8M7_2_MINDY3.pdf</v>
      </c>
    </row>
    <row r="1194" spans="1:28" x14ac:dyDescent="0.25">
      <c r="A1194" t="s">
        <v>1198</v>
      </c>
      <c r="B1194">
        <v>1</v>
      </c>
      <c r="C1194">
        <v>0.63292446589999196</v>
      </c>
      <c r="D1194">
        <v>1.0896684576375399</v>
      </c>
      <c r="E1194">
        <v>1.2709317303563801</v>
      </c>
      <c r="F1194">
        <v>0.893922690401866</v>
      </c>
      <c r="G1194">
        <v>0.85753078110312997</v>
      </c>
      <c r="H1194">
        <v>0.862253838209184</v>
      </c>
      <c r="I1194">
        <v>0.91268726863402705</v>
      </c>
      <c r="J1194">
        <v>0.52054587863948099</v>
      </c>
      <c r="K1194">
        <v>0.782112726724148</v>
      </c>
      <c r="L1194">
        <v>1017.13351199009</v>
      </c>
      <c r="M1194">
        <v>16.420748477086899</v>
      </c>
      <c r="O1194">
        <v>61.045180148372701</v>
      </c>
      <c r="P1194">
        <v>-2.3887821900144299E-2</v>
      </c>
      <c r="Q1194">
        <v>0.64480714950005802</v>
      </c>
      <c r="R1194">
        <v>0.27045623995403101</v>
      </c>
      <c r="S1194" t="s">
        <v>2520</v>
      </c>
      <c r="T1194" t="s">
        <v>2650</v>
      </c>
      <c r="U1194" t="s">
        <v>2650</v>
      </c>
      <c r="V1194" t="s">
        <v>2650</v>
      </c>
      <c r="W1194" t="s">
        <v>3843</v>
      </c>
      <c r="X1194">
        <v>4</v>
      </c>
      <c r="Y1194" t="s">
        <v>5152</v>
      </c>
      <c r="Z1194" t="s">
        <v>6474</v>
      </c>
      <c r="AA1194">
        <v>0.90455641796907404</v>
      </c>
      <c r="AB1194" t="str">
        <f>HYPERLINK("Melting_Curves/meltCurve_Q9H910_JPT2.pdf", "Melting_Curves/meltCurve_Q9H910_JPT2.pdf")</f>
        <v>Melting_Curves/meltCurve_Q9H910_JPT2.pdf</v>
      </c>
    </row>
    <row r="1195" spans="1:28" x14ac:dyDescent="0.25">
      <c r="A1195" t="s">
        <v>1199</v>
      </c>
      <c r="B1195">
        <v>1</v>
      </c>
      <c r="C1195">
        <v>1.0160866559115</v>
      </c>
      <c r="D1195">
        <v>1.50260428670201</v>
      </c>
      <c r="E1195">
        <v>1.6831988937543201</v>
      </c>
      <c r="F1195">
        <v>1.67287393408619</v>
      </c>
      <c r="G1195">
        <v>1.72205577321964</v>
      </c>
      <c r="H1195">
        <v>1.3381885227010799</v>
      </c>
      <c r="I1195">
        <v>1.70103710532381</v>
      </c>
      <c r="J1195">
        <v>1.34855957593916</v>
      </c>
      <c r="K1195">
        <v>1.59248674809864</v>
      </c>
      <c r="L1195">
        <v>10871.0277377196</v>
      </c>
      <c r="M1195">
        <v>250</v>
      </c>
      <c r="O1195">
        <v>43.481327149317003</v>
      </c>
      <c r="P1195">
        <v>0.71869929667687305</v>
      </c>
      <c r="Q1195">
        <v>1.5</v>
      </c>
      <c r="R1195">
        <v>0.68861578207057605</v>
      </c>
      <c r="S1195" t="s">
        <v>2521</v>
      </c>
      <c r="T1195" t="s">
        <v>2650</v>
      </c>
      <c r="U1195" t="s">
        <v>2650</v>
      </c>
      <c r="V1195" t="s">
        <v>2650</v>
      </c>
      <c r="W1195" t="s">
        <v>3844</v>
      </c>
      <c r="X1195">
        <v>7</v>
      </c>
      <c r="Y1195" t="s">
        <v>5153</v>
      </c>
      <c r="Z1195" t="s">
        <v>6475</v>
      </c>
      <c r="AA1195">
        <v>1.441893327182199</v>
      </c>
      <c r="AB1195" t="str">
        <f>HYPERLINK("Melting_Curves/meltCurve_Q9HAT2_2_SIAE.pdf", "Melting_Curves/meltCurve_Q9HAT2_2_SIAE.pdf")</f>
        <v>Melting_Curves/meltCurve_Q9HAT2_2_SIAE.pdf</v>
      </c>
    </row>
    <row r="1196" spans="1:28" x14ac:dyDescent="0.25">
      <c r="A1196" t="s">
        <v>1200</v>
      </c>
      <c r="B1196">
        <v>1</v>
      </c>
      <c r="C1196">
        <v>0.87559899416425502</v>
      </c>
      <c r="D1196">
        <v>1.1532476158846099</v>
      </c>
      <c r="E1196">
        <v>1.4309911277696099</v>
      </c>
      <c r="F1196">
        <v>1.05807278075627</v>
      </c>
      <c r="G1196">
        <v>1.1965649760402299</v>
      </c>
      <c r="H1196">
        <v>1.0017554680457399</v>
      </c>
      <c r="I1196">
        <v>1.39602410210182</v>
      </c>
      <c r="J1196">
        <v>0.94415713811263502</v>
      </c>
      <c r="K1196">
        <v>1.2416378042415901</v>
      </c>
      <c r="L1196">
        <v>11421.917259089199</v>
      </c>
      <c r="M1196">
        <v>250</v>
      </c>
      <c r="O1196">
        <v>45.6847453660871</v>
      </c>
      <c r="P1196">
        <v>0.248051591280358</v>
      </c>
      <c r="Q1196">
        <v>1.1813147802033399</v>
      </c>
      <c r="R1196">
        <v>0.268866714196281</v>
      </c>
      <c r="S1196" t="s">
        <v>2522</v>
      </c>
      <c r="T1196" t="s">
        <v>2650</v>
      </c>
      <c r="U1196" t="s">
        <v>2650</v>
      </c>
      <c r="V1196" t="s">
        <v>2650</v>
      </c>
      <c r="W1196" t="s">
        <v>3845</v>
      </c>
      <c r="X1196">
        <v>6</v>
      </c>
      <c r="Y1196" t="s">
        <v>5154</v>
      </c>
      <c r="Z1196" t="s">
        <v>6476</v>
      </c>
      <c r="AA1196">
        <v>1.1469249601362159</v>
      </c>
      <c r="AB1196" t="str">
        <f>HYPERLINK("Melting_Curves/meltCurve_Q9HB40_SCPEP1.pdf", "Melting_Curves/meltCurve_Q9HB40_SCPEP1.pdf")</f>
        <v>Melting_Curves/meltCurve_Q9HB40_SCPEP1.pdf</v>
      </c>
    </row>
    <row r="1197" spans="1:28" x14ac:dyDescent="0.25">
      <c r="A1197" t="s">
        <v>1201</v>
      </c>
      <c r="B1197">
        <v>1</v>
      </c>
      <c r="C1197">
        <v>0.73915078882074803</v>
      </c>
      <c r="D1197">
        <v>1.0350639015027401</v>
      </c>
      <c r="E1197">
        <v>1.1899723795702399</v>
      </c>
      <c r="F1197">
        <v>1.1816862506437</v>
      </c>
      <c r="G1197">
        <v>1.3377650859042201</v>
      </c>
      <c r="H1197">
        <v>1.3227376995458999</v>
      </c>
      <c r="I1197">
        <v>1.33696924301297</v>
      </c>
      <c r="J1197">
        <v>0.97968259912925404</v>
      </c>
      <c r="K1197">
        <v>1.1690463929591299</v>
      </c>
      <c r="L1197">
        <v>2329.5589476710002</v>
      </c>
      <c r="M1197">
        <v>48.411456103933702</v>
      </c>
      <c r="O1197">
        <v>48.038098808907399</v>
      </c>
      <c r="P1197">
        <v>5.5878485133845503E-2</v>
      </c>
      <c r="Q1197">
        <v>1.22178994806146</v>
      </c>
      <c r="R1197">
        <v>0.49341688515614901</v>
      </c>
      <c r="S1197" t="s">
        <v>2523</v>
      </c>
      <c r="T1197" t="s">
        <v>2650</v>
      </c>
      <c r="U1197" t="s">
        <v>2650</v>
      </c>
      <c r="V1197" t="s">
        <v>2650</v>
      </c>
      <c r="W1197" t="s">
        <v>3846</v>
      </c>
      <c r="X1197">
        <v>1</v>
      </c>
      <c r="Y1197" t="s">
        <v>5155</v>
      </c>
      <c r="Z1197" t="s">
        <v>6477</v>
      </c>
      <c r="AA1197">
        <v>1.161256229319811</v>
      </c>
      <c r="AB1197" t="str">
        <f>HYPERLINK("Melting_Curves/meltCurve_Q9HB63_3_NTN4.pdf", "Melting_Curves/meltCurve_Q9HB63_3_NTN4.pdf")</f>
        <v>Melting_Curves/meltCurve_Q9HB63_3_NTN4.pdf</v>
      </c>
    </row>
    <row r="1198" spans="1:28" x14ac:dyDescent="0.25">
      <c r="A1198" t="s">
        <v>1202</v>
      </c>
      <c r="B1198">
        <v>1</v>
      </c>
      <c r="C1198">
        <v>0.97301844841055196</v>
      </c>
      <c r="D1198">
        <v>1.38489273481161</v>
      </c>
      <c r="E1198">
        <v>1.7063277447268801</v>
      </c>
      <c r="F1198">
        <v>2.0465116279069799</v>
      </c>
      <c r="G1198">
        <v>2.5146926266450298</v>
      </c>
      <c r="H1198">
        <v>1.9112433147046499</v>
      </c>
      <c r="I1198">
        <v>2.2776275464214901</v>
      </c>
      <c r="J1198">
        <v>2.1965627065681099</v>
      </c>
      <c r="K1198">
        <v>2.4080884562225799</v>
      </c>
      <c r="L1198">
        <v>11444.4733925444</v>
      </c>
      <c r="M1198">
        <v>250</v>
      </c>
      <c r="O1198">
        <v>45.774963996611099</v>
      </c>
      <c r="P1198">
        <v>0.68268759263518497</v>
      </c>
      <c r="Q1198">
        <v>1.5</v>
      </c>
      <c r="R1198">
        <v>-0.222429054450625</v>
      </c>
      <c r="S1198" t="s">
        <v>2524</v>
      </c>
      <c r="T1198" t="s">
        <v>2650</v>
      </c>
      <c r="U1198" t="s">
        <v>2650</v>
      </c>
      <c r="V1198" t="s">
        <v>2650</v>
      </c>
      <c r="W1198" t="s">
        <v>3847</v>
      </c>
      <c r="X1198">
        <v>2</v>
      </c>
      <c r="Y1198" t="s">
        <v>5156</v>
      </c>
      <c r="Z1198" t="s">
        <v>6478</v>
      </c>
      <c r="AA1198">
        <v>1.4036616040849921</v>
      </c>
      <c r="AB1198" t="str">
        <f>HYPERLINK("Melting_Curves/meltCurve_Q9HB71_3_CACYBP.pdf", "Melting_Curves/meltCurve_Q9HB71_3_CACYBP.pdf")</f>
        <v>Melting_Curves/meltCurve_Q9HB71_3_CACYBP.pdf</v>
      </c>
    </row>
    <row r="1199" spans="1:28" x14ac:dyDescent="0.25">
      <c r="A1199" t="s">
        <v>1203</v>
      </c>
      <c r="B1199">
        <v>1</v>
      </c>
      <c r="C1199">
        <v>0.78148870590687802</v>
      </c>
      <c r="D1199">
        <v>1.1320299587546001</v>
      </c>
      <c r="E1199">
        <v>1.2239461576259301</v>
      </c>
      <c r="F1199">
        <v>1.1179886537917501</v>
      </c>
      <c r="G1199">
        <v>1.00635804583153</v>
      </c>
      <c r="H1199">
        <v>0.97791807501600703</v>
      </c>
      <c r="I1199">
        <v>1.1857383224884199</v>
      </c>
      <c r="J1199">
        <v>0.74275971947170105</v>
      </c>
      <c r="K1199">
        <v>0.89959647999523495</v>
      </c>
      <c r="L1199">
        <v>15000</v>
      </c>
      <c r="M1199">
        <v>228.69882408774001</v>
      </c>
      <c r="O1199">
        <v>65.583428559698206</v>
      </c>
      <c r="P1199">
        <v>-0.155963458791888</v>
      </c>
      <c r="Q1199">
        <v>0.82109889062844998</v>
      </c>
      <c r="R1199">
        <v>0.26258928729616299</v>
      </c>
      <c r="S1199" t="s">
        <v>2525</v>
      </c>
      <c r="T1199" t="s">
        <v>2650</v>
      </c>
      <c r="U1199" t="s">
        <v>2650</v>
      </c>
      <c r="V1199" t="s">
        <v>2650</v>
      </c>
      <c r="W1199" t="s">
        <v>3848</v>
      </c>
      <c r="X1199">
        <v>7</v>
      </c>
      <c r="Y1199" t="s">
        <v>5157</v>
      </c>
      <c r="Z1199" t="s">
        <v>6479</v>
      </c>
      <c r="AA1199">
        <v>0.97371686486964915</v>
      </c>
      <c r="AB1199" t="str">
        <f>HYPERLINK("Melting_Curves/meltCurve_Q9HBR0_SLC38A10.pdf", "Melting_Curves/meltCurve_Q9HBR0_SLC38A10.pdf")</f>
        <v>Melting_Curves/meltCurve_Q9HBR0_SLC38A10.pdf</v>
      </c>
    </row>
    <row r="1200" spans="1:28" x14ac:dyDescent="0.25">
      <c r="A1200" t="s">
        <v>1204</v>
      </c>
      <c r="B1200">
        <v>1</v>
      </c>
      <c r="C1200">
        <v>0.76913082130889698</v>
      </c>
      <c r="D1200">
        <v>1.2308691786910999</v>
      </c>
      <c r="E1200">
        <v>1.5758736237434201</v>
      </c>
      <c r="F1200">
        <v>1.3073924639266901</v>
      </c>
      <c r="G1200">
        <v>1.90200369281269</v>
      </c>
      <c r="H1200">
        <v>2.3517746016549301</v>
      </c>
      <c r="I1200">
        <v>3.07768583737947</v>
      </c>
      <c r="J1200">
        <v>2.0666073993024701</v>
      </c>
      <c r="K1200">
        <v>2.7925870204472401</v>
      </c>
      <c r="L1200">
        <v>11507.0539368278</v>
      </c>
      <c r="M1200">
        <v>250</v>
      </c>
      <c r="O1200">
        <v>46.025270010263696</v>
      </c>
      <c r="P1200">
        <v>0.67897482989330005</v>
      </c>
      <c r="Q1200">
        <v>1.5</v>
      </c>
      <c r="R1200">
        <v>-2.6603674781042998E-2</v>
      </c>
      <c r="S1200" t="s">
        <v>2526</v>
      </c>
      <c r="T1200" t="s">
        <v>2650</v>
      </c>
      <c r="U1200" t="s">
        <v>2650</v>
      </c>
      <c r="V1200" t="s">
        <v>2650</v>
      </c>
      <c r="W1200" t="s">
        <v>3849</v>
      </c>
      <c r="X1200">
        <v>8</v>
      </c>
      <c r="Y1200" t="s">
        <v>5158</v>
      </c>
      <c r="Z1200" t="s">
        <v>6480</v>
      </c>
      <c r="AA1200">
        <v>1.3994893481436741</v>
      </c>
      <c r="AB1200" t="str">
        <f>HYPERLINK("Melting_Curves/meltCurve_Q9HC38_2_GLOD4.pdf", "Melting_Curves/meltCurve_Q9HC38_2_GLOD4.pdf")</f>
        <v>Melting_Curves/meltCurve_Q9HC38_2_GLOD4.pdf</v>
      </c>
    </row>
    <row r="1201" spans="1:28" x14ac:dyDescent="0.25">
      <c r="A1201" t="s">
        <v>1205</v>
      </c>
      <c r="B1201">
        <v>1</v>
      </c>
      <c r="C1201">
        <v>0.74528872551300496</v>
      </c>
      <c r="D1201">
        <v>1.15357591549951</v>
      </c>
      <c r="E1201">
        <v>1.2382625285002999</v>
      </c>
      <c r="F1201">
        <v>0.96486901493648503</v>
      </c>
      <c r="G1201">
        <v>0.93902098552882596</v>
      </c>
      <c r="H1201">
        <v>0.93048252756967997</v>
      </c>
      <c r="I1201">
        <v>0.99025173328369998</v>
      </c>
      <c r="J1201">
        <v>0.66695360848727403</v>
      </c>
      <c r="K1201">
        <v>0.86736308222046399</v>
      </c>
      <c r="L1201">
        <v>15000</v>
      </c>
      <c r="M1201">
        <v>231.370292242792</v>
      </c>
      <c r="O1201">
        <v>64.826317984649904</v>
      </c>
      <c r="P1201">
        <v>-0.207764476010525</v>
      </c>
      <c r="Q1201">
        <v>0.767150717159643</v>
      </c>
      <c r="R1201">
        <v>0.32181776744357998</v>
      </c>
      <c r="S1201" t="s">
        <v>2527</v>
      </c>
      <c r="T1201" t="s">
        <v>2650</v>
      </c>
      <c r="U1201" t="s">
        <v>2650</v>
      </c>
      <c r="V1201" t="s">
        <v>2650</v>
      </c>
      <c r="W1201" t="s">
        <v>3850</v>
      </c>
      <c r="X1201">
        <v>1</v>
      </c>
      <c r="Y1201" t="s">
        <v>5159</v>
      </c>
      <c r="Z1201" t="s">
        <v>6481</v>
      </c>
      <c r="AA1201">
        <v>0.9599120938714395</v>
      </c>
      <c r="AB1201" t="str">
        <f>HYPERLINK("Melting_Curves/meltCurve_Q9HC84_MUC5B.pdf", "Melting_Curves/meltCurve_Q9HC84_MUC5B.pdf")</f>
        <v>Melting_Curves/meltCurve_Q9HC84_MUC5B.pdf</v>
      </c>
    </row>
    <row r="1202" spans="1:28" x14ac:dyDescent="0.25">
      <c r="A1202" t="s">
        <v>1206</v>
      </c>
      <c r="B1202">
        <v>1</v>
      </c>
      <c r="C1202">
        <v>0.95430854361352802</v>
      </c>
      <c r="D1202">
        <v>1.49553417675017</v>
      </c>
      <c r="E1202">
        <v>2.1587491102794298</v>
      </c>
      <c r="F1202">
        <v>1.99285927490644</v>
      </c>
      <c r="G1202">
        <v>1.9946961173742299</v>
      </c>
      <c r="H1202">
        <v>2.2705668955066201</v>
      </c>
      <c r="I1202">
        <v>3.9937547356094898</v>
      </c>
      <c r="J1202">
        <v>1.45627166900099</v>
      </c>
      <c r="K1202">
        <v>2.37721856129314</v>
      </c>
      <c r="L1202">
        <v>11283.5046742781</v>
      </c>
      <c r="M1202">
        <v>250</v>
      </c>
      <c r="O1202">
        <v>45.131129926941803</v>
      </c>
      <c r="P1202">
        <v>0.69242670738016399</v>
      </c>
      <c r="Q1202">
        <v>1.5</v>
      </c>
      <c r="R1202">
        <v>-0.24198497695608001</v>
      </c>
      <c r="S1202" t="s">
        <v>2528</v>
      </c>
      <c r="T1202" t="s">
        <v>2650</v>
      </c>
      <c r="U1202" t="s">
        <v>2650</v>
      </c>
      <c r="V1202" t="s">
        <v>2650</v>
      </c>
      <c r="W1202" t="s">
        <v>3851</v>
      </c>
      <c r="X1202">
        <v>1</v>
      </c>
      <c r="Y1202" t="s">
        <v>5160</v>
      </c>
      <c r="Z1202" t="s">
        <v>6482</v>
      </c>
      <c r="AA1202">
        <v>1.4143934169646071</v>
      </c>
      <c r="AB1202" t="str">
        <f>HYPERLINK("Melting_Curves/meltCurve_Q9HCE0_2_EPG5.pdf", "Melting_Curves/meltCurve_Q9HCE0_2_EPG5.pdf")</f>
        <v>Melting_Curves/meltCurve_Q9HCE0_2_EPG5.pdf</v>
      </c>
    </row>
    <row r="1203" spans="1:28" x14ac:dyDescent="0.25">
      <c r="A1203" t="s">
        <v>1207</v>
      </c>
      <c r="B1203">
        <v>1</v>
      </c>
      <c r="C1203">
        <v>0.74090974938432597</v>
      </c>
      <c r="D1203">
        <v>1.2922280168042899</v>
      </c>
      <c r="E1203">
        <v>1.53683181225554</v>
      </c>
      <c r="F1203">
        <v>1.24688541213965</v>
      </c>
      <c r="G1203">
        <v>1.16424018542663</v>
      </c>
      <c r="H1203">
        <v>0.99185136897001303</v>
      </c>
      <c r="I1203">
        <v>1.2133130522961</v>
      </c>
      <c r="J1203">
        <v>0.81323337679269903</v>
      </c>
      <c r="K1203">
        <v>1.1579023612921899</v>
      </c>
      <c r="L1203">
        <v>11118.614924020199</v>
      </c>
      <c r="M1203">
        <v>250</v>
      </c>
      <c r="O1203">
        <v>44.471625487276</v>
      </c>
      <c r="P1203">
        <v>0.24883749273813899</v>
      </c>
      <c r="Q1203">
        <v>1.17705927731105</v>
      </c>
      <c r="R1203">
        <v>0.23362382952336</v>
      </c>
      <c r="S1203" t="s">
        <v>2529</v>
      </c>
      <c r="T1203" t="s">
        <v>2650</v>
      </c>
      <c r="U1203" t="s">
        <v>2650</v>
      </c>
      <c r="V1203" t="s">
        <v>2650</v>
      </c>
      <c r="W1203" t="s">
        <v>3852</v>
      </c>
      <c r="X1203">
        <v>2</v>
      </c>
      <c r="Y1203" t="s">
        <v>5161</v>
      </c>
      <c r="Z1203" t="s">
        <v>6483</v>
      </c>
      <c r="AA1203">
        <v>1.1506373041448821</v>
      </c>
      <c r="AB1203" t="str">
        <f>HYPERLINK("Melting_Curves/meltCurve_Q9HCU4_CELSR2.pdf", "Melting_Curves/meltCurve_Q9HCU4_CELSR2.pdf")</f>
        <v>Melting_Curves/meltCurve_Q9HCU4_CELSR2.pdf</v>
      </c>
    </row>
    <row r="1204" spans="1:28" x14ac:dyDescent="0.25">
      <c r="A1204" t="s">
        <v>1208</v>
      </c>
      <c r="B1204">
        <v>1</v>
      </c>
      <c r="C1204">
        <v>0.91058785840140999</v>
      </c>
      <c r="D1204">
        <v>1.19621976613807</v>
      </c>
      <c r="E1204">
        <v>1.3149447381066799</v>
      </c>
      <c r="F1204">
        <v>1.0201826045170601</v>
      </c>
      <c r="G1204">
        <v>1.0986384750921001</v>
      </c>
      <c r="H1204">
        <v>0.92798334134230298</v>
      </c>
      <c r="I1204">
        <v>1.09421752362646</v>
      </c>
      <c r="J1204">
        <v>0.74515457312189604</v>
      </c>
      <c r="K1204">
        <v>0.96700304340861798</v>
      </c>
      <c r="L1204">
        <v>4743.8450421063299</v>
      </c>
      <c r="M1204">
        <v>72.556200108855293</v>
      </c>
      <c r="O1204">
        <v>65.332047769563502</v>
      </c>
      <c r="P1204">
        <v>-3.7333272763650997E-2</v>
      </c>
      <c r="Q1204">
        <v>0.86553547806444597</v>
      </c>
      <c r="R1204">
        <v>0.10476304286487501</v>
      </c>
      <c r="S1204" t="s">
        <v>2530</v>
      </c>
      <c r="T1204" t="s">
        <v>2650</v>
      </c>
      <c r="U1204" t="s">
        <v>2650</v>
      </c>
      <c r="V1204" t="s">
        <v>2650</v>
      </c>
      <c r="W1204" t="s">
        <v>3853</v>
      </c>
      <c r="X1204">
        <v>1</v>
      </c>
      <c r="Y1204" t="s">
        <v>5162</v>
      </c>
      <c r="Z1204" t="s">
        <v>6484</v>
      </c>
      <c r="AA1204">
        <v>0.97944390664138914</v>
      </c>
      <c r="AB1204" t="str">
        <f>HYPERLINK("Melting_Curves/meltCurve_Q9HD89_RETN.pdf", "Melting_Curves/meltCurve_Q9HD89_RETN.pdf")</f>
        <v>Melting_Curves/meltCurve_Q9HD89_RETN.pdf</v>
      </c>
    </row>
    <row r="1205" spans="1:28" x14ac:dyDescent="0.25">
      <c r="A1205" t="s">
        <v>1209</v>
      </c>
      <c r="B1205">
        <v>1</v>
      </c>
      <c r="C1205">
        <v>0.75194877505567903</v>
      </c>
      <c r="D1205">
        <v>1.18172327394209</v>
      </c>
      <c r="E1205">
        <v>1.8217566815144799</v>
      </c>
      <c r="F1205">
        <v>1.59451559020045</v>
      </c>
      <c r="G1205">
        <v>1.8613585746102499</v>
      </c>
      <c r="H1205">
        <v>1.77255011135857</v>
      </c>
      <c r="I1205">
        <v>2.4013084632516701</v>
      </c>
      <c r="J1205">
        <v>1.2691397550111401</v>
      </c>
      <c r="K1205">
        <v>2.1192232739420902</v>
      </c>
      <c r="L1205">
        <v>11525.7800649646</v>
      </c>
      <c r="M1205">
        <v>250</v>
      </c>
      <c r="O1205">
        <v>46.100188644318699</v>
      </c>
      <c r="P1205">
        <v>0.67787168636504003</v>
      </c>
      <c r="Q1205">
        <v>1.5</v>
      </c>
      <c r="R1205">
        <v>0.32658936519279302</v>
      </c>
      <c r="S1205" t="s">
        <v>2531</v>
      </c>
      <c r="T1205" t="s">
        <v>2650</v>
      </c>
      <c r="U1205" t="s">
        <v>2650</v>
      </c>
      <c r="V1205" t="s">
        <v>2650</v>
      </c>
      <c r="W1205" t="s">
        <v>3854</v>
      </c>
      <c r="X1205">
        <v>1</v>
      </c>
      <c r="Y1205" t="s">
        <v>5163</v>
      </c>
      <c r="Z1205" t="s">
        <v>6485</v>
      </c>
      <c r="AA1205">
        <v>1.398240873873094</v>
      </c>
      <c r="AB1205" t="str">
        <f>HYPERLINK("Melting_Curves/meltCurve_Q9HDB5_3_NRXN3.pdf", "Melting_Curves/meltCurve_Q9HDB5_3_NRXN3.pdf")</f>
        <v>Melting_Curves/meltCurve_Q9HDB5_3_NRXN3.pdf</v>
      </c>
    </row>
    <row r="1206" spans="1:28" x14ac:dyDescent="0.25">
      <c r="A1206" t="s">
        <v>1210</v>
      </c>
      <c r="B1206">
        <v>1</v>
      </c>
      <c r="C1206">
        <v>0.73461952733954194</v>
      </c>
      <c r="D1206">
        <v>1.13375150478363</v>
      </c>
      <c r="E1206">
        <v>1.37401001077108</v>
      </c>
      <c r="F1206">
        <v>1.1470886396755999</v>
      </c>
      <c r="G1206">
        <v>0.92381042894253296</v>
      </c>
      <c r="H1206">
        <v>1.0386808591522501</v>
      </c>
      <c r="I1206">
        <v>1.2003421402775101</v>
      </c>
      <c r="J1206">
        <v>0.67933852879680701</v>
      </c>
      <c r="K1206">
        <v>1.0170436545650401</v>
      </c>
      <c r="L1206">
        <v>2289.1056027084901</v>
      </c>
      <c r="M1206">
        <v>34.723622620960498</v>
      </c>
      <c r="O1206">
        <v>65.706089951989</v>
      </c>
      <c r="P1206">
        <v>-1.45354358391945E-2</v>
      </c>
      <c r="Q1206">
        <v>0.88998117041001601</v>
      </c>
      <c r="R1206">
        <v>2.09951126306759E-2</v>
      </c>
      <c r="S1206" t="s">
        <v>2532</v>
      </c>
      <c r="T1206" t="s">
        <v>2650</v>
      </c>
      <c r="U1206" t="s">
        <v>2650</v>
      </c>
      <c r="V1206" t="s">
        <v>2650</v>
      </c>
      <c r="W1206" t="s">
        <v>3855</v>
      </c>
      <c r="X1206">
        <v>2</v>
      </c>
      <c r="Y1206" t="s">
        <v>5164</v>
      </c>
      <c r="Z1206" t="s">
        <v>6486</v>
      </c>
      <c r="AA1206">
        <v>0.98467394273635511</v>
      </c>
      <c r="AB1206" t="str">
        <f>HYPERLINK("Melting_Curves/meltCurve_Q9NP61_2_ARFGAP3.pdf", "Melting_Curves/meltCurve_Q9NP61_2_ARFGAP3.pdf")</f>
        <v>Melting_Curves/meltCurve_Q9NP61_2_ARFGAP3.pdf</v>
      </c>
    </row>
    <row r="1207" spans="1:28" x14ac:dyDescent="0.25">
      <c r="A1207" t="s">
        <v>1211</v>
      </c>
      <c r="B1207">
        <v>1</v>
      </c>
      <c r="C1207">
        <v>0.72801334903808401</v>
      </c>
      <c r="D1207">
        <v>1.1097860227718901</v>
      </c>
      <c r="E1207">
        <v>1.3385846093443301</v>
      </c>
      <c r="F1207">
        <v>1.1563604240282701</v>
      </c>
      <c r="G1207">
        <v>1.26648998822144</v>
      </c>
      <c r="H1207">
        <v>1.10625245386729</v>
      </c>
      <c r="I1207">
        <v>1.4674617196702</v>
      </c>
      <c r="J1207">
        <v>0.91087553985080505</v>
      </c>
      <c r="K1207">
        <v>1.15395563407931</v>
      </c>
      <c r="L1207">
        <v>11490.966541382</v>
      </c>
      <c r="M1207">
        <v>250</v>
      </c>
      <c r="O1207">
        <v>45.960924936710398</v>
      </c>
      <c r="P1207">
        <v>0.27196634594638402</v>
      </c>
      <c r="Q1207">
        <v>1.1999971960782401</v>
      </c>
      <c r="R1207">
        <v>0.343328310430766</v>
      </c>
      <c r="S1207" t="s">
        <v>2533</v>
      </c>
      <c r="T1207" t="s">
        <v>2650</v>
      </c>
      <c r="U1207" t="s">
        <v>2650</v>
      </c>
      <c r="V1207" t="s">
        <v>2650</v>
      </c>
      <c r="W1207" t="s">
        <v>3856</v>
      </c>
      <c r="X1207">
        <v>1</v>
      </c>
      <c r="Y1207" t="s">
        <v>5165</v>
      </c>
      <c r="Z1207" t="s">
        <v>6487</v>
      </c>
      <c r="AA1207">
        <v>1.1602225127674179</v>
      </c>
      <c r="AB1207" t="str">
        <f>HYPERLINK("Melting_Curves/meltCurve_Q9NP79_2_VTA1.pdf", "Melting_Curves/meltCurve_Q9NP79_2_VTA1.pdf")</f>
        <v>Melting_Curves/meltCurve_Q9NP79_2_VTA1.pdf</v>
      </c>
    </row>
    <row r="1208" spans="1:28" x14ac:dyDescent="0.25">
      <c r="A1208" t="s">
        <v>1212</v>
      </c>
      <c r="B1208">
        <v>1</v>
      </c>
      <c r="C1208">
        <v>0.71630317231434804</v>
      </c>
      <c r="D1208">
        <v>1.13887887527037</v>
      </c>
      <c r="E1208">
        <v>1.1999819754866601</v>
      </c>
      <c r="F1208">
        <v>0.92150324441240095</v>
      </c>
      <c r="G1208">
        <v>1.0177541456380701</v>
      </c>
      <c r="H1208">
        <v>0.855353280461428</v>
      </c>
      <c r="I1208">
        <v>1.01018385003605</v>
      </c>
      <c r="J1208">
        <v>0.56905191059841398</v>
      </c>
      <c r="K1208">
        <v>0.69717015140591199</v>
      </c>
      <c r="L1208">
        <v>14420.538735076299</v>
      </c>
      <c r="M1208">
        <v>220.990699226202</v>
      </c>
      <c r="O1208">
        <v>65.248708957808304</v>
      </c>
      <c r="P1208">
        <v>-0.31102508013460101</v>
      </c>
      <c r="Q1208">
        <v>0.63267259836970502</v>
      </c>
      <c r="R1208">
        <v>0.52286942640912204</v>
      </c>
      <c r="S1208" t="s">
        <v>2534</v>
      </c>
      <c r="T1208" t="s">
        <v>2650</v>
      </c>
      <c r="U1208" t="s">
        <v>2650</v>
      </c>
      <c r="V1208" t="s">
        <v>2650</v>
      </c>
      <c r="W1208" t="s">
        <v>3857</v>
      </c>
      <c r="X1208">
        <v>2</v>
      </c>
      <c r="Y1208" t="s">
        <v>5166</v>
      </c>
      <c r="Z1208" t="s">
        <v>6488</v>
      </c>
      <c r="AA1208">
        <v>0.94194328761860779</v>
      </c>
      <c r="AB1208" t="str">
        <f>HYPERLINK("Melting_Curves/meltCurve_Q9NP97_DYNLRB1.pdf", "Melting_Curves/meltCurve_Q9NP97_DYNLRB1.pdf")</f>
        <v>Melting_Curves/meltCurve_Q9NP97_DYNLRB1.pdf</v>
      </c>
    </row>
    <row r="1209" spans="1:28" x14ac:dyDescent="0.25">
      <c r="A1209" t="s">
        <v>1213</v>
      </c>
      <c r="B1209">
        <v>1</v>
      </c>
      <c r="C1209">
        <v>0.99318266716473702</v>
      </c>
      <c r="D1209">
        <v>1.3078072469181901</v>
      </c>
      <c r="E1209">
        <v>1.4241688457228201</v>
      </c>
      <c r="F1209">
        <v>1.2521479267837099</v>
      </c>
      <c r="G1209">
        <v>1.5309114680612601</v>
      </c>
      <c r="H1209">
        <v>1.5863840119536801</v>
      </c>
      <c r="I1209">
        <v>1.8320881583862501</v>
      </c>
      <c r="J1209">
        <v>1.40651849084796</v>
      </c>
      <c r="K1209">
        <v>1.7717594322002199</v>
      </c>
      <c r="L1209">
        <v>938.961552735135</v>
      </c>
      <c r="M1209">
        <v>20.211490719348699</v>
      </c>
      <c r="O1209">
        <v>46.009208556767597</v>
      </c>
      <c r="P1209">
        <v>5.4913251149602001E-2</v>
      </c>
      <c r="Q1209">
        <v>1.5</v>
      </c>
      <c r="R1209">
        <v>0.64048674082951096</v>
      </c>
      <c r="S1209" t="s">
        <v>2535</v>
      </c>
      <c r="T1209" t="s">
        <v>2650</v>
      </c>
      <c r="U1209" t="s">
        <v>2650</v>
      </c>
      <c r="V1209" t="s">
        <v>2650</v>
      </c>
      <c r="W1209" t="s">
        <v>3858</v>
      </c>
      <c r="X1209">
        <v>2</v>
      </c>
      <c r="Y1209" t="s">
        <v>5167</v>
      </c>
      <c r="Z1209" t="s">
        <v>6489</v>
      </c>
      <c r="AA1209">
        <v>1.3850516311425189</v>
      </c>
      <c r="AB1209" t="str">
        <f>HYPERLINK("Melting_Curves/meltCurve_Q9NPC4_A4GALT.pdf", "Melting_Curves/meltCurve_Q9NPC4_A4GALT.pdf")</f>
        <v>Melting_Curves/meltCurve_Q9NPC4_A4GALT.pdf</v>
      </c>
    </row>
    <row r="1210" spans="1:28" x14ac:dyDescent="0.25">
      <c r="A1210" t="s">
        <v>1214</v>
      </c>
      <c r="B1210">
        <v>1</v>
      </c>
      <c r="C1210">
        <v>0.78086353944562903</v>
      </c>
      <c r="D1210">
        <v>1.06409914712154</v>
      </c>
      <c r="E1210">
        <v>1.22753198294243</v>
      </c>
      <c r="F1210">
        <v>0.94610874200426398</v>
      </c>
      <c r="G1210">
        <v>0.98845948827292096</v>
      </c>
      <c r="H1210">
        <v>0.89810767590618301</v>
      </c>
      <c r="I1210">
        <v>1.02817164179104</v>
      </c>
      <c r="J1210">
        <v>0.66220682302771905</v>
      </c>
      <c r="K1210">
        <v>0.97041577825159897</v>
      </c>
      <c r="L1210">
        <v>1768.8090090386499</v>
      </c>
      <c r="M1210">
        <v>28.405849814984801</v>
      </c>
      <c r="O1210">
        <v>61.963021145484497</v>
      </c>
      <c r="P1210">
        <v>-1.7193118757731898E-2</v>
      </c>
      <c r="Q1210">
        <v>0.84998456816373003</v>
      </c>
      <c r="R1210">
        <v>0.152995191476792</v>
      </c>
      <c r="S1210" t="s">
        <v>2536</v>
      </c>
      <c r="T1210" t="s">
        <v>2650</v>
      </c>
      <c r="U1210" t="s">
        <v>2650</v>
      </c>
      <c r="V1210" t="s">
        <v>2650</v>
      </c>
      <c r="W1210" t="s">
        <v>3859</v>
      </c>
      <c r="X1210">
        <v>2</v>
      </c>
      <c r="Y1210" t="s">
        <v>5168</v>
      </c>
      <c r="Z1210" t="s">
        <v>6490</v>
      </c>
      <c r="AA1210">
        <v>0.96199169322219069</v>
      </c>
      <c r="AB1210" t="str">
        <f>HYPERLINK("Melting_Curves/meltCurve_Q9NPF0_2_CD320.pdf", "Melting_Curves/meltCurve_Q9NPF0_2_CD320.pdf")</f>
        <v>Melting_Curves/meltCurve_Q9NPF0_2_CD320.pdf</v>
      </c>
    </row>
    <row r="1211" spans="1:28" x14ac:dyDescent="0.25">
      <c r="A1211" t="s">
        <v>1215</v>
      </c>
      <c r="B1211">
        <v>1</v>
      </c>
      <c r="C1211">
        <v>0.67117455547207605</v>
      </c>
      <c r="D1211">
        <v>1.1715710827281101</v>
      </c>
      <c r="E1211">
        <v>1.38527840387345</v>
      </c>
      <c r="F1211">
        <v>1.08934385174055</v>
      </c>
      <c r="G1211">
        <v>1.19461140328909</v>
      </c>
      <c r="H1211">
        <v>1.19164788379664</v>
      </c>
      <c r="I1211">
        <v>1.52249770431589</v>
      </c>
      <c r="J1211">
        <v>0.90629434844310897</v>
      </c>
      <c r="K1211">
        <v>1.25369396443777</v>
      </c>
      <c r="L1211">
        <v>11442.269414857799</v>
      </c>
      <c r="M1211">
        <v>250</v>
      </c>
      <c r="O1211">
        <v>45.766148716136001</v>
      </c>
      <c r="P1211">
        <v>0.30109739379799899</v>
      </c>
      <c r="Q1211">
        <v>1.2204810895079701</v>
      </c>
      <c r="R1211">
        <v>0.33981733626614002</v>
      </c>
      <c r="S1211" t="s">
        <v>2537</v>
      </c>
      <c r="T1211" t="s">
        <v>2650</v>
      </c>
      <c r="U1211" t="s">
        <v>2650</v>
      </c>
      <c r="V1211" t="s">
        <v>2650</v>
      </c>
      <c r="W1211" t="s">
        <v>3860</v>
      </c>
      <c r="X1211">
        <v>4</v>
      </c>
      <c r="Y1211" t="s">
        <v>5169</v>
      </c>
      <c r="Z1211" t="s">
        <v>6491</v>
      </c>
      <c r="AA1211">
        <v>1.1780642953205029</v>
      </c>
      <c r="AB1211" t="str">
        <f>HYPERLINK("Melting_Curves/meltCurve_Q9NPF2_2_CHST11.pdf", "Melting_Curves/meltCurve_Q9NPF2_2_CHST11.pdf")</f>
        <v>Melting_Curves/meltCurve_Q9NPF2_2_CHST11.pdf</v>
      </c>
    </row>
    <row r="1212" spans="1:28" x14ac:dyDescent="0.25">
      <c r="A1212" t="s">
        <v>1216</v>
      </c>
      <c r="B1212">
        <v>1</v>
      </c>
      <c r="C1212">
        <v>0.954828685645848</v>
      </c>
      <c r="D1212">
        <v>1.6108242834253199</v>
      </c>
      <c r="E1212">
        <v>2.1243950992927298</v>
      </c>
      <c r="F1212">
        <v>2.0227555958373098</v>
      </c>
      <c r="G1212">
        <v>2.1106381601307702</v>
      </c>
      <c r="H1212">
        <v>2.0649974913816802</v>
      </c>
      <c r="I1212">
        <v>2.52367002767572</v>
      </c>
      <c r="J1212">
        <v>1.7451891174518901</v>
      </c>
      <c r="K1212">
        <v>2.1608105264861499</v>
      </c>
      <c r="L1212">
        <v>11080.618294292501</v>
      </c>
      <c r="M1212">
        <v>250</v>
      </c>
      <c r="O1212">
        <v>44.319636844067702</v>
      </c>
      <c r="P1212">
        <v>0.70510505657960698</v>
      </c>
      <c r="Q1212">
        <v>1.5</v>
      </c>
      <c r="R1212">
        <v>-0.23567977226360701</v>
      </c>
      <c r="S1212" t="s">
        <v>2538</v>
      </c>
      <c r="T1212" t="s">
        <v>2650</v>
      </c>
      <c r="U1212" t="s">
        <v>2650</v>
      </c>
      <c r="V1212" t="s">
        <v>2650</v>
      </c>
      <c r="W1212" t="s">
        <v>3861</v>
      </c>
      <c r="X1212">
        <v>1</v>
      </c>
      <c r="Y1212" t="s">
        <v>5170</v>
      </c>
      <c r="Z1212" t="s">
        <v>6492</v>
      </c>
      <c r="AA1212">
        <v>1.427919887755188</v>
      </c>
      <c r="AB1212" t="str">
        <f>HYPERLINK("Melting_Curves/meltCurve_Q9NPH0_ACP6.pdf", "Melting_Curves/meltCurve_Q9NPH0_ACP6.pdf")</f>
        <v>Melting_Curves/meltCurve_Q9NPH0_ACP6.pdf</v>
      </c>
    </row>
    <row r="1213" spans="1:28" x14ac:dyDescent="0.25">
      <c r="A1213" t="s">
        <v>1217</v>
      </c>
      <c r="B1213">
        <v>1</v>
      </c>
      <c r="C1213">
        <v>0.783058555997726</v>
      </c>
      <c r="D1213">
        <v>1.21707409512981</v>
      </c>
      <c r="E1213">
        <v>1.5082433200682199</v>
      </c>
      <c r="F1213">
        <v>1.1874170930452901</v>
      </c>
      <c r="G1213">
        <v>1.28226264923252</v>
      </c>
      <c r="H1213">
        <v>1.2622702292969501</v>
      </c>
      <c r="I1213">
        <v>1.53401553913208</v>
      </c>
      <c r="J1213">
        <v>0.97479628576842903</v>
      </c>
      <c r="K1213">
        <v>1.3296380519234401</v>
      </c>
      <c r="L1213">
        <v>11454.0103109957</v>
      </c>
      <c r="M1213">
        <v>250</v>
      </c>
      <c r="O1213">
        <v>45.813109153036599</v>
      </c>
      <c r="P1213">
        <v>0.405109247780163</v>
      </c>
      <c r="Q1213">
        <v>1.2969490277415301</v>
      </c>
      <c r="R1213">
        <v>0.465957646064245</v>
      </c>
      <c r="S1213" t="s">
        <v>2539</v>
      </c>
      <c r="T1213" t="s">
        <v>2650</v>
      </c>
      <c r="U1213" t="s">
        <v>2650</v>
      </c>
      <c r="V1213" t="s">
        <v>2650</v>
      </c>
      <c r="W1213" t="s">
        <v>3862</v>
      </c>
      <c r="X1213">
        <v>4</v>
      </c>
      <c r="Y1213" t="s">
        <v>5171</v>
      </c>
      <c r="Z1213" t="s">
        <v>6493</v>
      </c>
      <c r="AA1213">
        <v>1.2393562247040359</v>
      </c>
      <c r="AB1213" t="str">
        <f>HYPERLINK("Melting_Curves/meltCurve_Q9NPH3_3_IL1RAP.pdf", "Melting_Curves/meltCurve_Q9NPH3_3_IL1RAP.pdf")</f>
        <v>Melting_Curves/meltCurve_Q9NPH3_3_IL1RAP.pdf</v>
      </c>
    </row>
    <row r="1214" spans="1:28" x14ac:dyDescent="0.25">
      <c r="A1214" t="s">
        <v>1218</v>
      </c>
      <c r="B1214">
        <v>1</v>
      </c>
      <c r="C1214">
        <v>0.98226627864678095</v>
      </c>
      <c r="D1214">
        <v>1.08100348178558</v>
      </c>
      <c r="E1214">
        <v>1.5775866548874899</v>
      </c>
      <c r="F1214">
        <v>1.2883256249025601</v>
      </c>
      <c r="G1214">
        <v>2.0233331601101701</v>
      </c>
      <c r="H1214">
        <v>1.86431429610768</v>
      </c>
      <c r="I1214">
        <v>2.5679467858442</v>
      </c>
      <c r="J1214">
        <v>1.89328587018656</v>
      </c>
      <c r="K1214">
        <v>2.4714181780387698</v>
      </c>
      <c r="L1214">
        <v>11575.5950385626</v>
      </c>
      <c r="M1214">
        <v>250</v>
      </c>
      <c r="O1214">
        <v>46.2993977038319</v>
      </c>
      <c r="P1214">
        <v>0.67495450055386097</v>
      </c>
      <c r="Q1214">
        <v>1.5</v>
      </c>
      <c r="R1214">
        <v>0.12556689376277499</v>
      </c>
      <c r="S1214" t="s">
        <v>2540</v>
      </c>
      <c r="T1214" t="s">
        <v>2650</v>
      </c>
      <c r="U1214" t="s">
        <v>2650</v>
      </c>
      <c r="V1214" t="s">
        <v>2650</v>
      </c>
      <c r="W1214" t="s">
        <v>3863</v>
      </c>
      <c r="X1214">
        <v>2</v>
      </c>
      <c r="Y1214" t="s">
        <v>5172</v>
      </c>
      <c r="Z1214" t="s">
        <v>6494</v>
      </c>
      <c r="AA1214">
        <v>1.39491970078422</v>
      </c>
      <c r="AB1214" t="str">
        <f>HYPERLINK("Melting_Curves/meltCurve_Q9NPR2_2_SEMA4B.pdf", "Melting_Curves/meltCurve_Q9NPR2_2_SEMA4B.pdf")</f>
        <v>Melting_Curves/meltCurve_Q9NPR2_2_SEMA4B.pdf</v>
      </c>
    </row>
    <row r="1215" spans="1:28" x14ac:dyDescent="0.25">
      <c r="A1215" t="s">
        <v>1219</v>
      </c>
      <c r="B1215">
        <v>1</v>
      </c>
      <c r="C1215">
        <v>0.74968458238708002</v>
      </c>
      <c r="D1215">
        <v>1.178198334595</v>
      </c>
      <c r="E1215">
        <v>1.46802927075448</v>
      </c>
      <c r="F1215">
        <v>1.0365043317352201</v>
      </c>
      <c r="G1215">
        <v>1.09154680797376</v>
      </c>
      <c r="H1215">
        <v>1.14134073513332</v>
      </c>
      <c r="I1215">
        <v>1.1828244595844899</v>
      </c>
      <c r="J1215">
        <v>0.66747413575574099</v>
      </c>
      <c r="K1215">
        <v>0.99557574228278201</v>
      </c>
      <c r="L1215">
        <v>1469.0479163120499</v>
      </c>
      <c r="M1215">
        <v>21.442522609348401</v>
      </c>
      <c r="O1215">
        <v>67.923452250788003</v>
      </c>
      <c r="P1215">
        <v>-1.12767512111655E-2</v>
      </c>
      <c r="Q1215">
        <v>0.85711816367708404</v>
      </c>
      <c r="R1215">
        <v>-2.8270182802955499E-2</v>
      </c>
      <c r="S1215" t="s">
        <v>2541</v>
      </c>
      <c r="T1215" t="s">
        <v>2650</v>
      </c>
      <c r="U1215" t="s">
        <v>2650</v>
      </c>
      <c r="V1215" t="s">
        <v>2650</v>
      </c>
      <c r="W1215" t="s">
        <v>3864</v>
      </c>
      <c r="X1215">
        <v>4</v>
      </c>
      <c r="Y1215" t="s">
        <v>5173</v>
      </c>
      <c r="Z1215" t="s">
        <v>6495</v>
      </c>
      <c r="AA1215">
        <v>0.986519281756981</v>
      </c>
      <c r="AB1215" t="str">
        <f>HYPERLINK("Melting_Curves/meltCurve_Q9NQ36_3_SCUBE2.pdf", "Melting_Curves/meltCurve_Q9NQ36_3_SCUBE2.pdf")</f>
        <v>Melting_Curves/meltCurve_Q9NQ36_3_SCUBE2.pdf</v>
      </c>
    </row>
    <row r="1216" spans="1:28" x14ac:dyDescent="0.25">
      <c r="A1216" t="s">
        <v>1220</v>
      </c>
      <c r="B1216">
        <v>1</v>
      </c>
      <c r="C1216">
        <v>0.96674977103897397</v>
      </c>
      <c r="D1216">
        <v>1.0306807774498801</v>
      </c>
      <c r="E1216">
        <v>1.1625114480512899</v>
      </c>
      <c r="F1216">
        <v>1.0487686984837701</v>
      </c>
      <c r="G1216">
        <v>0.97338964078559098</v>
      </c>
      <c r="H1216">
        <v>0.94538007530273704</v>
      </c>
      <c r="I1216">
        <v>1.05268647603541</v>
      </c>
      <c r="J1216">
        <v>0.84547674773583004</v>
      </c>
      <c r="K1216">
        <v>1.0055459448458299</v>
      </c>
      <c r="L1216">
        <v>14200.250673378599</v>
      </c>
      <c r="M1216">
        <v>250</v>
      </c>
      <c r="O1216">
        <v>56.797353599491302</v>
      </c>
      <c r="P1216">
        <v>-4.1515666552556001E-2</v>
      </c>
      <c r="Q1216">
        <v>0.96227231068086805</v>
      </c>
      <c r="R1216">
        <v>0.103158045692563</v>
      </c>
      <c r="S1216" t="s">
        <v>2542</v>
      </c>
      <c r="T1216" t="s">
        <v>2650</v>
      </c>
      <c r="U1216" t="s">
        <v>2650</v>
      </c>
      <c r="V1216" t="s">
        <v>2650</v>
      </c>
      <c r="W1216" t="s">
        <v>3865</v>
      </c>
      <c r="X1216">
        <v>1</v>
      </c>
      <c r="Y1216" t="s">
        <v>5174</v>
      </c>
      <c r="Z1216" t="s">
        <v>6496</v>
      </c>
      <c r="AA1216">
        <v>0.98340483855658234</v>
      </c>
      <c r="AB1216" t="str">
        <f>HYPERLINK("Melting_Curves/meltCurve_Q9NQ38_2_SPINK5.pdf", "Melting_Curves/meltCurve_Q9NQ38_2_SPINK5.pdf")</f>
        <v>Melting_Curves/meltCurve_Q9NQ38_2_SPINK5.pdf</v>
      </c>
    </row>
    <row r="1217" spans="1:28" x14ac:dyDescent="0.25">
      <c r="A1217" t="s">
        <v>1221</v>
      </c>
      <c r="B1217">
        <v>1</v>
      </c>
      <c r="C1217">
        <v>0.79807719496677498</v>
      </c>
      <c r="D1217">
        <v>1.1177718082850301</v>
      </c>
      <c r="E1217">
        <v>1.36024317828361</v>
      </c>
      <c r="F1217">
        <v>1.2296620952919599</v>
      </c>
      <c r="G1217">
        <v>1.5763608087091801</v>
      </c>
      <c r="H1217">
        <v>2.14831047645978</v>
      </c>
      <c r="I1217">
        <v>3.6123285734483201</v>
      </c>
      <c r="J1217">
        <v>2.7205146331118302</v>
      </c>
      <c r="K1217">
        <v>3.8552240916159999</v>
      </c>
      <c r="L1217">
        <v>1454.8499050006801</v>
      </c>
      <c r="M1217">
        <v>29.631548639849601</v>
      </c>
      <c r="O1217">
        <v>48.876014173375303</v>
      </c>
      <c r="P1217">
        <v>7.5782957964509595E-2</v>
      </c>
      <c r="Q1217">
        <v>1.5</v>
      </c>
      <c r="R1217">
        <v>-9.8074258972511402E-2</v>
      </c>
      <c r="S1217" t="s">
        <v>2543</v>
      </c>
      <c r="T1217" t="s">
        <v>2650</v>
      </c>
      <c r="U1217" t="s">
        <v>2650</v>
      </c>
      <c r="V1217" t="s">
        <v>2650</v>
      </c>
      <c r="W1217" t="s">
        <v>3866</v>
      </c>
      <c r="X1217">
        <v>17</v>
      </c>
      <c r="Y1217" t="s">
        <v>5175</v>
      </c>
      <c r="Z1217" t="s">
        <v>6497</v>
      </c>
      <c r="AA1217">
        <v>1.345238844756381</v>
      </c>
      <c r="AB1217" t="str">
        <f>HYPERLINK("Melting_Curves/meltCurve_Q9NQ79_2_CRTAC1.pdf", "Melting_Curves/meltCurve_Q9NQ79_2_CRTAC1.pdf")</f>
        <v>Melting_Curves/meltCurve_Q9NQ79_2_CRTAC1.pdf</v>
      </c>
    </row>
    <row r="1218" spans="1:28" x14ac:dyDescent="0.25">
      <c r="A1218" t="s">
        <v>1222</v>
      </c>
      <c r="B1218">
        <v>1</v>
      </c>
      <c r="C1218">
        <v>0.69795558621218201</v>
      </c>
      <c r="D1218">
        <v>1.0152708321358099</v>
      </c>
      <c r="E1218">
        <v>1.02295414918281</v>
      </c>
      <c r="F1218">
        <v>0.74453449828514495</v>
      </c>
      <c r="G1218">
        <v>0.75329079726389603</v>
      </c>
      <c r="H1218">
        <v>0.68038550707976497</v>
      </c>
      <c r="I1218">
        <v>0.74932459619474601</v>
      </c>
      <c r="J1218">
        <v>0.50709892510202903</v>
      </c>
      <c r="K1218">
        <v>0.68718744611139804</v>
      </c>
      <c r="L1218">
        <v>263.29685526416199</v>
      </c>
      <c r="M1218">
        <v>3.7159384729468501</v>
      </c>
      <c r="O1218">
        <v>56.762230265603499</v>
      </c>
      <c r="P1218">
        <v>-1.3379917261090101E-2</v>
      </c>
      <c r="Q1218">
        <v>0.19552843404290801</v>
      </c>
      <c r="R1218">
        <v>0.49589417627432197</v>
      </c>
      <c r="S1218" t="s">
        <v>2544</v>
      </c>
      <c r="T1218" t="s">
        <v>2650</v>
      </c>
      <c r="U1218" t="s">
        <v>2650</v>
      </c>
      <c r="V1218" t="s">
        <v>2650</v>
      </c>
      <c r="W1218" t="s">
        <v>3867</v>
      </c>
      <c r="X1218">
        <v>2</v>
      </c>
      <c r="Y1218" t="s">
        <v>5176</v>
      </c>
      <c r="Z1218" t="s">
        <v>6498</v>
      </c>
      <c r="AA1218">
        <v>0.79081552917230524</v>
      </c>
      <c r="AB1218" t="str">
        <f>HYPERLINK("Melting_Curves/meltCurve_Q9NQP4_PFDN4.pdf", "Melting_Curves/meltCurve_Q9NQP4_PFDN4.pdf")</f>
        <v>Melting_Curves/meltCurve_Q9NQP4_PFDN4.pdf</v>
      </c>
    </row>
    <row r="1219" spans="1:28" x14ac:dyDescent="0.25">
      <c r="A1219" t="s">
        <v>1223</v>
      </c>
      <c r="B1219">
        <v>1</v>
      </c>
      <c r="C1219">
        <v>0.77674690196587304</v>
      </c>
      <c r="D1219">
        <v>1.14526698241744</v>
      </c>
      <c r="E1219">
        <v>1.54875754233439</v>
      </c>
      <c r="F1219">
        <v>1.59086485434374</v>
      </c>
      <c r="G1219">
        <v>1.97820022059301</v>
      </c>
      <c r="H1219">
        <v>2.09939661324856</v>
      </c>
      <c r="I1219">
        <v>2.92759358982677</v>
      </c>
      <c r="J1219">
        <v>1.9257769415428501</v>
      </c>
      <c r="K1219">
        <v>2.4503990138195002</v>
      </c>
      <c r="L1219">
        <v>11541.0684406156</v>
      </c>
      <c r="M1219">
        <v>250</v>
      </c>
      <c r="O1219">
        <v>46.161319570893397</v>
      </c>
      <c r="P1219">
        <v>0.67697371604161505</v>
      </c>
      <c r="Q1219">
        <v>1.5</v>
      </c>
      <c r="R1219">
        <v>6.2701034145142095E-2</v>
      </c>
      <c r="S1219" t="s">
        <v>2545</v>
      </c>
      <c r="T1219" t="s">
        <v>2650</v>
      </c>
      <c r="U1219" t="s">
        <v>2650</v>
      </c>
      <c r="V1219" t="s">
        <v>2650</v>
      </c>
      <c r="W1219" t="s">
        <v>3868</v>
      </c>
      <c r="X1219">
        <v>3</v>
      </c>
      <c r="Y1219" t="s">
        <v>5177</v>
      </c>
      <c r="Z1219" t="s">
        <v>6499</v>
      </c>
      <c r="AA1219">
        <v>1.397221595167971</v>
      </c>
      <c r="AB1219" t="str">
        <f>HYPERLINK("Melting_Curves/meltCurve_Q9NQR4_NIT2.pdf", "Melting_Curves/meltCurve_Q9NQR4_NIT2.pdf")</f>
        <v>Melting_Curves/meltCurve_Q9NQR4_NIT2.pdf</v>
      </c>
    </row>
    <row r="1220" spans="1:28" x14ac:dyDescent="0.25">
      <c r="A1220" t="s">
        <v>1224</v>
      </c>
      <c r="B1220">
        <v>1</v>
      </c>
      <c r="C1220">
        <v>0.68621088640708305</v>
      </c>
      <c r="D1220">
        <v>1.12053526511722</v>
      </c>
      <c r="E1220">
        <v>1.41598752389576</v>
      </c>
      <c r="F1220">
        <v>1.2958044068819801</v>
      </c>
      <c r="G1220">
        <v>1.00186135426099</v>
      </c>
      <c r="H1220">
        <v>1.0894707717074199</v>
      </c>
      <c r="I1220">
        <v>1.56668175872824</v>
      </c>
      <c r="J1220">
        <v>0.74552268839923497</v>
      </c>
      <c r="K1220">
        <v>1.1390481939832999</v>
      </c>
      <c r="L1220">
        <v>11466.8727067949</v>
      </c>
      <c r="M1220">
        <v>250</v>
      </c>
      <c r="O1220">
        <v>45.864556037097202</v>
      </c>
      <c r="P1220">
        <v>0.244192776153661</v>
      </c>
      <c r="Q1220">
        <v>1.17919669038136</v>
      </c>
      <c r="R1220">
        <v>0.187950712668498</v>
      </c>
      <c r="S1220" t="s">
        <v>2546</v>
      </c>
      <c r="T1220" t="s">
        <v>2650</v>
      </c>
      <c r="U1220" t="s">
        <v>2650</v>
      </c>
      <c r="V1220" t="s">
        <v>2650</v>
      </c>
      <c r="W1220" t="s">
        <v>3869</v>
      </c>
      <c r="X1220">
        <v>1</v>
      </c>
      <c r="Y1220" t="s">
        <v>5178</v>
      </c>
      <c r="Z1220" t="s">
        <v>6500</v>
      </c>
      <c r="AA1220">
        <v>1.1441344343975219</v>
      </c>
      <c r="AB1220" t="str">
        <f>HYPERLINK("Melting_Curves/meltCurve_Q9NQT8_2_KIF13B.pdf", "Melting_Curves/meltCurve_Q9NQT8_2_KIF13B.pdf")</f>
        <v>Melting_Curves/meltCurve_Q9NQT8_2_KIF13B.pdf</v>
      </c>
    </row>
    <row r="1221" spans="1:28" x14ac:dyDescent="0.25">
      <c r="A1221" t="s">
        <v>1225</v>
      </c>
      <c r="B1221">
        <v>1</v>
      </c>
      <c r="C1221">
        <v>0.72165386084815597</v>
      </c>
      <c r="D1221">
        <v>1.0168527401621601</v>
      </c>
      <c r="E1221">
        <v>1.41533302203167</v>
      </c>
      <c r="F1221">
        <v>1.24442840769198</v>
      </c>
      <c r="G1221">
        <v>1.4521798191620301</v>
      </c>
      <c r="H1221">
        <v>1.1409772042280399</v>
      </c>
      <c r="I1221">
        <v>1.6870144755274401</v>
      </c>
      <c r="J1221">
        <v>1.0912679882837399</v>
      </c>
      <c r="K1221">
        <v>1.3929617523453801</v>
      </c>
      <c r="L1221">
        <v>11636.754672475199</v>
      </c>
      <c r="M1221">
        <v>250</v>
      </c>
      <c r="O1221">
        <v>46.544040049325297</v>
      </c>
      <c r="P1221">
        <v>0.46502859678625402</v>
      </c>
      <c r="Q1221">
        <v>1.3463089532749599</v>
      </c>
      <c r="R1221">
        <v>0.53050196584355302</v>
      </c>
      <c r="S1221" t="s">
        <v>2547</v>
      </c>
      <c r="T1221" t="s">
        <v>2650</v>
      </c>
      <c r="U1221" t="s">
        <v>2650</v>
      </c>
      <c r="V1221" t="s">
        <v>2650</v>
      </c>
      <c r="W1221" t="s">
        <v>3870</v>
      </c>
      <c r="X1221">
        <v>3</v>
      </c>
      <c r="Y1221" t="s">
        <v>5179</v>
      </c>
      <c r="Z1221" t="s">
        <v>6501</v>
      </c>
      <c r="AA1221">
        <v>1.270704290555575</v>
      </c>
      <c r="AB1221" t="str">
        <f>HYPERLINK("Melting_Curves/meltCurve_Q9NQW7_2_XPNPEP1.pdf", "Melting_Curves/meltCurve_Q9NQW7_2_XPNPEP1.pdf")</f>
        <v>Melting_Curves/meltCurve_Q9NQW7_2_XPNPEP1.pdf</v>
      </c>
    </row>
    <row r="1222" spans="1:28" x14ac:dyDescent="0.25">
      <c r="A1222" t="s">
        <v>1226</v>
      </c>
      <c r="B1222">
        <v>1</v>
      </c>
      <c r="C1222">
        <v>0.75891264683572901</v>
      </c>
      <c r="D1222">
        <v>0.93019537095881399</v>
      </c>
      <c r="E1222">
        <v>1.3974046208409401</v>
      </c>
      <c r="F1222">
        <v>0.74997437421841395</v>
      </c>
      <c r="G1222">
        <v>0.89837840054121698</v>
      </c>
      <c r="H1222">
        <v>0.770905512618135</v>
      </c>
      <c r="I1222">
        <v>1.00555566944792</v>
      </c>
      <c r="J1222">
        <v>0.56766231370056797</v>
      </c>
      <c r="K1222">
        <v>0.98831464359663002</v>
      </c>
      <c r="L1222">
        <v>6338.8825182763103</v>
      </c>
      <c r="M1222">
        <v>122.387836234855</v>
      </c>
      <c r="O1222">
        <v>51.779601234420703</v>
      </c>
      <c r="P1222">
        <v>-0.100343964736785</v>
      </c>
      <c r="Q1222">
        <v>0.83018678373009802</v>
      </c>
      <c r="R1222">
        <v>0.18551316845961999</v>
      </c>
      <c r="S1222" t="s">
        <v>2548</v>
      </c>
      <c r="T1222" t="s">
        <v>2650</v>
      </c>
      <c r="U1222" t="s">
        <v>2650</v>
      </c>
      <c r="V1222" t="s">
        <v>2650</v>
      </c>
      <c r="W1222" t="s">
        <v>3871</v>
      </c>
      <c r="X1222">
        <v>1</v>
      </c>
      <c r="Y1222" t="s">
        <v>5180</v>
      </c>
      <c r="Z1222" t="s">
        <v>6502</v>
      </c>
      <c r="AA1222">
        <v>0.89700709066316475</v>
      </c>
      <c r="AB1222" t="str">
        <f>HYPERLINK("Melting_Curves/meltCurve_Q9NQX3_GPHN.pdf", "Melting_Curves/meltCurve_Q9NQX3_GPHN.pdf")</f>
        <v>Melting_Curves/meltCurve_Q9NQX3_GPHN.pdf</v>
      </c>
    </row>
    <row r="1223" spans="1:28" x14ac:dyDescent="0.25">
      <c r="A1223" t="s">
        <v>1227</v>
      </c>
      <c r="B1223">
        <v>1</v>
      </c>
      <c r="C1223">
        <v>0.89607607773339704</v>
      </c>
      <c r="D1223">
        <v>1.10587967466214</v>
      </c>
      <c r="E1223">
        <v>1.18131583849004</v>
      </c>
      <c r="F1223">
        <v>0.97987334174962204</v>
      </c>
      <c r="G1223">
        <v>1.16372441482647</v>
      </c>
      <c r="H1223">
        <v>1.0685237691177401</v>
      </c>
      <c r="I1223">
        <v>1.0674889794904701</v>
      </c>
      <c r="J1223">
        <v>0.85069020468138801</v>
      </c>
      <c r="K1223">
        <v>1.05310540367143</v>
      </c>
      <c r="L1223">
        <v>11117.901369511799</v>
      </c>
      <c r="M1223">
        <v>250</v>
      </c>
      <c r="O1223">
        <v>44.468778889783898</v>
      </c>
      <c r="P1223">
        <v>8.2676296974518795E-2</v>
      </c>
      <c r="Q1223">
        <v>1.0588241980876201</v>
      </c>
      <c r="R1223">
        <v>0.138186273121192</v>
      </c>
      <c r="S1223" t="s">
        <v>2549</v>
      </c>
      <c r="T1223" t="s">
        <v>2650</v>
      </c>
      <c r="U1223" t="s">
        <v>2650</v>
      </c>
      <c r="V1223" t="s">
        <v>2650</v>
      </c>
      <c r="W1223" t="s">
        <v>3872</v>
      </c>
      <c r="X1223">
        <v>2</v>
      </c>
      <c r="Y1223" t="s">
        <v>5181</v>
      </c>
      <c r="Z1223" t="s">
        <v>6503</v>
      </c>
      <c r="AA1223">
        <v>1.050051653489863</v>
      </c>
      <c r="AB1223" t="str">
        <f>HYPERLINK("Melting_Curves/meltCurve_Q9NQX5_NPDC1.pdf", "Melting_Curves/meltCurve_Q9NQX5_NPDC1.pdf")</f>
        <v>Melting_Curves/meltCurve_Q9NQX5_NPDC1.pdf</v>
      </c>
    </row>
    <row r="1224" spans="1:28" x14ac:dyDescent="0.25">
      <c r="A1224" t="s">
        <v>1228</v>
      </c>
      <c r="B1224">
        <v>1</v>
      </c>
      <c r="C1224">
        <v>1.1646499567847901</v>
      </c>
      <c r="D1224">
        <v>1.19161624891962</v>
      </c>
      <c r="E1224">
        <v>1.46940363007779</v>
      </c>
      <c r="F1224">
        <v>1.2122731201382899</v>
      </c>
      <c r="G1224">
        <v>1.1250648228176301</v>
      </c>
      <c r="H1224">
        <v>1.2964563526361299</v>
      </c>
      <c r="I1224">
        <v>1.25548833189283</v>
      </c>
      <c r="J1224">
        <v>0.68037165082108897</v>
      </c>
      <c r="K1224">
        <v>0.90207433016421801</v>
      </c>
      <c r="L1224">
        <v>2159.30024211916</v>
      </c>
      <c r="M1224">
        <v>31.894762934863</v>
      </c>
      <c r="O1224">
        <v>67.436304664503197</v>
      </c>
      <c r="P1224">
        <v>-2.3129528129253101E-2</v>
      </c>
      <c r="Q1224">
        <v>0.80438645132015796</v>
      </c>
      <c r="R1224">
        <v>-0.302018085139797</v>
      </c>
      <c r="S1224" t="s">
        <v>2550</v>
      </c>
      <c r="T1224" t="s">
        <v>2650</v>
      </c>
      <c r="U1224" t="s">
        <v>2650</v>
      </c>
      <c r="V1224" t="s">
        <v>2650</v>
      </c>
      <c r="W1224" t="s">
        <v>3873</v>
      </c>
      <c r="X1224">
        <v>1</v>
      </c>
      <c r="Y1224" t="s">
        <v>5182</v>
      </c>
      <c r="Z1224" t="s">
        <v>6504</v>
      </c>
      <c r="AA1224">
        <v>0.98165938979162992</v>
      </c>
      <c r="AB1224" t="str">
        <f>HYPERLINK("Melting_Curves/meltCurve_Q9NR34_MAN1C1.pdf", "Melting_Curves/meltCurve_Q9NR34_MAN1C1.pdf")</f>
        <v>Melting_Curves/meltCurve_Q9NR34_MAN1C1.pdf</v>
      </c>
    </row>
    <row r="1225" spans="1:28" x14ac:dyDescent="0.25">
      <c r="A1225" t="s">
        <v>1229</v>
      </c>
      <c r="B1225">
        <v>1</v>
      </c>
      <c r="C1225">
        <v>0.64867448762124802</v>
      </c>
      <c r="D1225">
        <v>1.07809667974585</v>
      </c>
      <c r="E1225">
        <v>1.1363554882785301</v>
      </c>
      <c r="F1225">
        <v>1.09403071284881</v>
      </c>
      <c r="G1225">
        <v>1.0224271515924099</v>
      </c>
      <c r="H1225">
        <v>1.0973370247176699</v>
      </c>
      <c r="I1225">
        <v>1.59931882008485</v>
      </c>
      <c r="J1225">
        <v>0.80940904654729395</v>
      </c>
      <c r="K1225">
        <v>1.1564323699882499</v>
      </c>
      <c r="L1225">
        <v>11481.873576357601</v>
      </c>
      <c r="M1225">
        <v>250</v>
      </c>
      <c r="O1225">
        <v>45.9245559467915</v>
      </c>
      <c r="P1225">
        <v>0.17795308566080101</v>
      </c>
      <c r="Q1225">
        <v>1.1307586608778</v>
      </c>
      <c r="R1225">
        <v>0.15495340619267001</v>
      </c>
      <c r="S1225" t="s">
        <v>2551</v>
      </c>
      <c r="T1225" t="s">
        <v>2650</v>
      </c>
      <c r="U1225" t="s">
        <v>2650</v>
      </c>
      <c r="V1225" t="s">
        <v>2650</v>
      </c>
      <c r="W1225" t="s">
        <v>3874</v>
      </c>
      <c r="X1225">
        <v>2</v>
      </c>
      <c r="Y1225" t="s">
        <v>5183</v>
      </c>
      <c r="Z1225" t="s">
        <v>6505</v>
      </c>
      <c r="AA1225">
        <v>1.1049124142053171</v>
      </c>
      <c r="AB1225" t="str">
        <f>HYPERLINK("Melting_Curves/meltCurve_Q9NR45_NANS.pdf", "Melting_Curves/meltCurve_Q9NR45_NANS.pdf")</f>
        <v>Melting_Curves/meltCurve_Q9NR45_NANS.pdf</v>
      </c>
    </row>
    <row r="1226" spans="1:28" x14ac:dyDescent="0.25">
      <c r="A1226" t="s">
        <v>1230</v>
      </c>
      <c r="B1226">
        <v>1</v>
      </c>
      <c r="C1226">
        <v>0.81659476676208498</v>
      </c>
      <c r="D1226">
        <v>1.1107930492279201</v>
      </c>
      <c r="E1226">
        <v>1.3575777123735</v>
      </c>
      <c r="F1226">
        <v>1.08793291134137</v>
      </c>
      <c r="G1226">
        <v>1.30895456194815</v>
      </c>
      <c r="H1226">
        <v>1.33354836108535</v>
      </c>
      <c r="I1226">
        <v>1.81590936580252</v>
      </c>
      <c r="J1226">
        <v>1.1765109059387999</v>
      </c>
      <c r="K1226">
        <v>1.6452848445752499</v>
      </c>
      <c r="L1226">
        <v>689.122278716599</v>
      </c>
      <c r="M1226">
        <v>12.990947652279001</v>
      </c>
      <c r="O1226">
        <v>51.8365697088432</v>
      </c>
      <c r="P1226">
        <v>3.1332245379055899E-2</v>
      </c>
      <c r="Q1226">
        <v>1.5</v>
      </c>
      <c r="R1226">
        <v>0.53945530978372802</v>
      </c>
      <c r="S1226" t="s">
        <v>2552</v>
      </c>
      <c r="T1226" t="s">
        <v>2650</v>
      </c>
      <c r="U1226" t="s">
        <v>2650</v>
      </c>
      <c r="V1226" t="s">
        <v>2650</v>
      </c>
      <c r="W1226" t="s">
        <v>3875</v>
      </c>
      <c r="X1226">
        <v>17</v>
      </c>
      <c r="Y1226" t="s">
        <v>5184</v>
      </c>
      <c r="Z1226" t="s">
        <v>6506</v>
      </c>
      <c r="AA1226">
        <v>1.2696220017373241</v>
      </c>
      <c r="AB1226" t="str">
        <f>HYPERLINK("Melting_Curves/meltCurve_Q9NR99_MXRA5.pdf", "Melting_Curves/meltCurve_Q9NR99_MXRA5.pdf")</f>
        <v>Melting_Curves/meltCurve_Q9NR99_MXRA5.pdf</v>
      </c>
    </row>
    <row r="1227" spans="1:28" x14ac:dyDescent="0.25">
      <c r="A1227" t="s">
        <v>1231</v>
      </c>
      <c r="B1227">
        <v>1</v>
      </c>
      <c r="C1227">
        <v>0.90876834371444604</v>
      </c>
      <c r="D1227">
        <v>1.3222901440499799</v>
      </c>
      <c r="E1227">
        <v>1.5799409915729801</v>
      </c>
      <c r="F1227">
        <v>1.1964633511387099</v>
      </c>
      <c r="G1227">
        <v>1.2917831729564</v>
      </c>
      <c r="H1227">
        <v>1.2503808550436799</v>
      </c>
      <c r="I1227">
        <v>1.7831922401990099</v>
      </c>
      <c r="J1227">
        <v>1.23788495285111</v>
      </c>
      <c r="K1227">
        <v>1.5707811867250301</v>
      </c>
      <c r="L1227">
        <v>11443.068116603499</v>
      </c>
      <c r="M1227">
        <v>250</v>
      </c>
      <c r="O1227">
        <v>45.769343297048302</v>
      </c>
      <c r="P1227">
        <v>0.56775892845713505</v>
      </c>
      <c r="Q1227">
        <v>1.41577525284872</v>
      </c>
      <c r="R1227">
        <v>0.507994116516023</v>
      </c>
      <c r="S1227" t="s">
        <v>2553</v>
      </c>
      <c r="T1227" t="s">
        <v>2650</v>
      </c>
      <c r="U1227" t="s">
        <v>2650</v>
      </c>
      <c r="V1227" t="s">
        <v>2650</v>
      </c>
      <c r="W1227" t="s">
        <v>3876</v>
      </c>
      <c r="X1227">
        <v>1</v>
      </c>
      <c r="Y1227" t="s">
        <v>5185</v>
      </c>
      <c r="Z1227" t="s">
        <v>6507</v>
      </c>
      <c r="AA1227">
        <v>1.335742918970404</v>
      </c>
      <c r="AB1227" t="str">
        <f>HYPERLINK("Melting_Curves/meltCurve_Q9NRA1_4_PDGFC.pdf", "Melting_Curves/meltCurve_Q9NRA1_4_PDGFC.pdf")</f>
        <v>Melting_Curves/meltCurve_Q9NRA1_4_PDGFC.pdf</v>
      </c>
    </row>
    <row r="1228" spans="1:28" x14ac:dyDescent="0.25">
      <c r="A1228" t="s">
        <v>1232</v>
      </c>
      <c r="B1228">
        <v>1</v>
      </c>
      <c r="C1228">
        <v>0.77031553922628004</v>
      </c>
      <c r="D1228">
        <v>1.1942403285065899</v>
      </c>
      <c r="E1228">
        <v>1.3968013831856501</v>
      </c>
      <c r="F1228">
        <v>1.2873352063972301</v>
      </c>
      <c r="G1228">
        <v>1.3148368273179201</v>
      </c>
      <c r="H1228">
        <v>1.35698076507456</v>
      </c>
      <c r="I1228">
        <v>1.5629457531878099</v>
      </c>
      <c r="J1228">
        <v>1.1408039766587399</v>
      </c>
      <c r="K1228">
        <v>1.4944888696779799</v>
      </c>
      <c r="L1228">
        <v>11494.042336343</v>
      </c>
      <c r="M1228">
        <v>250</v>
      </c>
      <c r="O1228">
        <v>45.973227192591303</v>
      </c>
      <c r="P1228">
        <v>0.49605594730966501</v>
      </c>
      <c r="Q1228">
        <v>1.364884683691</v>
      </c>
      <c r="R1228">
        <v>0.66542358224221598</v>
      </c>
      <c r="S1228" t="s">
        <v>2554</v>
      </c>
      <c r="T1228" t="s">
        <v>2650</v>
      </c>
      <c r="U1228" t="s">
        <v>2650</v>
      </c>
      <c r="V1228" t="s">
        <v>2650</v>
      </c>
      <c r="W1228" t="s">
        <v>3877</v>
      </c>
      <c r="X1228">
        <v>1</v>
      </c>
      <c r="Y1228" t="s">
        <v>5186</v>
      </c>
      <c r="Z1228" t="s">
        <v>6508</v>
      </c>
      <c r="AA1228">
        <v>1.29216815336308</v>
      </c>
      <c r="AB1228" t="str">
        <f>HYPERLINK("Melting_Curves/meltCurve_Q9NRV9_HEBP1.pdf", "Melting_Curves/meltCurve_Q9NRV9_HEBP1.pdf")</f>
        <v>Melting_Curves/meltCurve_Q9NRV9_HEBP1.pdf</v>
      </c>
    </row>
    <row r="1229" spans="1:28" x14ac:dyDescent="0.25">
      <c r="A1229" t="s">
        <v>1233</v>
      </c>
      <c r="B1229">
        <v>1</v>
      </c>
      <c r="C1229">
        <v>0.678536788139116</v>
      </c>
      <c r="D1229">
        <v>0.89765484273243701</v>
      </c>
      <c r="E1229">
        <v>1.05341554662602</v>
      </c>
      <c r="F1229">
        <v>0.96184356380767599</v>
      </c>
      <c r="G1229">
        <v>0.83641055840376899</v>
      </c>
      <c r="H1229">
        <v>0.79934529582929204</v>
      </c>
      <c r="I1229">
        <v>0.88414507413052501</v>
      </c>
      <c r="J1229">
        <v>0.556585146182624</v>
      </c>
      <c r="K1229">
        <v>0.74838921989746399</v>
      </c>
      <c r="L1229">
        <v>236.34760797076899</v>
      </c>
      <c r="M1229">
        <v>2.48018783537443</v>
      </c>
      <c r="O1229">
        <v>63.999727919923899</v>
      </c>
      <c r="P1229">
        <v>-1.0194568497256799E-2</v>
      </c>
      <c r="Q1229">
        <v>0</v>
      </c>
      <c r="R1229">
        <v>0.25189121262812603</v>
      </c>
      <c r="S1229" t="s">
        <v>2555</v>
      </c>
      <c r="T1229" t="s">
        <v>2650</v>
      </c>
      <c r="U1229" t="s">
        <v>2650</v>
      </c>
      <c r="V1229" t="s">
        <v>2650</v>
      </c>
      <c r="W1229" t="s">
        <v>3878</v>
      </c>
      <c r="X1229">
        <v>1</v>
      </c>
      <c r="Y1229" t="s">
        <v>5187</v>
      </c>
      <c r="Z1229" t="s">
        <v>6509</v>
      </c>
      <c r="AA1229">
        <v>0.8532216454195295</v>
      </c>
      <c r="AB1229" t="str">
        <f>HYPERLINK("Melting_Curves/meltCurve_Q9NRY4_ARHGAP35.pdf", "Melting_Curves/meltCurve_Q9NRY4_ARHGAP35.pdf")</f>
        <v>Melting_Curves/meltCurve_Q9NRY4_ARHGAP35.pdf</v>
      </c>
    </row>
    <row r="1230" spans="1:28" x14ac:dyDescent="0.25">
      <c r="A1230" t="s">
        <v>1234</v>
      </c>
      <c r="B1230">
        <v>1</v>
      </c>
      <c r="C1230">
        <v>0.71193557005992603</v>
      </c>
      <c r="D1230">
        <v>1.09616779266384</v>
      </c>
      <c r="E1230">
        <v>1.2791709607236901</v>
      </c>
      <c r="F1230">
        <v>0.89946181151952398</v>
      </c>
      <c r="G1230">
        <v>0.96280392381388602</v>
      </c>
      <c r="H1230">
        <v>0.843142868048399</v>
      </c>
      <c r="I1230">
        <v>0.97982747433108097</v>
      </c>
      <c r="J1230">
        <v>0.60721783274170804</v>
      </c>
      <c r="K1230">
        <v>0.87991908088095006</v>
      </c>
      <c r="L1230">
        <v>1325.54666054466</v>
      </c>
      <c r="M1230">
        <v>21.686928782598301</v>
      </c>
      <c r="O1230">
        <v>60.609341892408203</v>
      </c>
      <c r="P1230">
        <v>-2.0312938874531599E-2</v>
      </c>
      <c r="Q1230">
        <v>0.77292779519908394</v>
      </c>
      <c r="R1230">
        <v>0.22122146742203999</v>
      </c>
      <c r="S1230" t="s">
        <v>2556</v>
      </c>
      <c r="T1230" t="s">
        <v>2650</v>
      </c>
      <c r="U1230" t="s">
        <v>2650</v>
      </c>
      <c r="V1230" t="s">
        <v>2650</v>
      </c>
      <c r="W1230" t="s">
        <v>3879</v>
      </c>
      <c r="X1230">
        <v>19</v>
      </c>
      <c r="Y1230" t="s">
        <v>5188</v>
      </c>
      <c r="Z1230" t="s">
        <v>6510</v>
      </c>
      <c r="AA1230">
        <v>0.93418235674091321</v>
      </c>
      <c r="AB1230" t="str">
        <f>HYPERLINK("Melting_Curves/meltCurve_Q9NS15_LTBP3.pdf", "Melting_Curves/meltCurve_Q9NS15_LTBP3.pdf")</f>
        <v>Melting_Curves/meltCurve_Q9NS15_LTBP3.pdf</v>
      </c>
    </row>
    <row r="1231" spans="1:28" x14ac:dyDescent="0.25">
      <c r="A1231" t="s">
        <v>1235</v>
      </c>
      <c r="B1231">
        <v>1</v>
      </c>
      <c r="C1231">
        <v>0.64942910985478297</v>
      </c>
      <c r="D1231">
        <v>1.1229907992462</v>
      </c>
      <c r="E1231">
        <v>1.2595610242766899</v>
      </c>
      <c r="F1231">
        <v>0.87096774193548399</v>
      </c>
      <c r="G1231">
        <v>0.96014854229021196</v>
      </c>
      <c r="H1231">
        <v>0.884602593947456</v>
      </c>
      <c r="I1231">
        <v>0.93986254295532601</v>
      </c>
      <c r="J1231">
        <v>0.545493847688726</v>
      </c>
      <c r="K1231">
        <v>0.86298636514798799</v>
      </c>
      <c r="L1231">
        <v>15000</v>
      </c>
      <c r="M1231">
        <v>233.011663827181</v>
      </c>
      <c r="O1231">
        <v>64.369698112852205</v>
      </c>
      <c r="P1231">
        <v>-0.26765190270678901</v>
      </c>
      <c r="Q1231">
        <v>0.70424351880345504</v>
      </c>
      <c r="R1231">
        <v>0.25205484603503597</v>
      </c>
      <c r="S1231" t="s">
        <v>2557</v>
      </c>
      <c r="T1231" t="s">
        <v>2650</v>
      </c>
      <c r="U1231" t="s">
        <v>2650</v>
      </c>
      <c r="V1231" t="s">
        <v>2650</v>
      </c>
      <c r="W1231" t="s">
        <v>3880</v>
      </c>
      <c r="X1231">
        <v>3</v>
      </c>
      <c r="Y1231" t="s">
        <v>5189</v>
      </c>
      <c r="Z1231" t="s">
        <v>6511</v>
      </c>
      <c r="AA1231">
        <v>0.94457879928019883</v>
      </c>
      <c r="AB1231" t="str">
        <f>HYPERLINK("Melting_Curves/meltCurve_Q9NS68_2_TNFRSF19.pdf", "Melting_Curves/meltCurve_Q9NS68_2_TNFRSF19.pdf")</f>
        <v>Melting_Curves/meltCurve_Q9NS68_2_TNFRSF19.pdf</v>
      </c>
    </row>
    <row r="1232" spans="1:28" x14ac:dyDescent="0.25">
      <c r="A1232" t="s">
        <v>1236</v>
      </c>
      <c r="B1232">
        <v>1</v>
      </c>
      <c r="C1232">
        <v>0.56492008736298505</v>
      </c>
      <c r="D1232">
        <v>0.99948970219019795</v>
      </c>
      <c r="E1232">
        <v>1.0658284174644299</v>
      </c>
      <c r="F1232">
        <v>0.76350758302545396</v>
      </c>
      <c r="G1232">
        <v>0.82257965748811002</v>
      </c>
      <c r="H1232">
        <v>0.72950133698026198</v>
      </c>
      <c r="I1232">
        <v>0.71923414504704897</v>
      </c>
      <c r="J1232">
        <v>0.42948704864158699</v>
      </c>
      <c r="K1232">
        <v>0.64950705231573103</v>
      </c>
      <c r="L1232">
        <v>267.313263320403</v>
      </c>
      <c r="M1232">
        <v>3.4934689182398402</v>
      </c>
      <c r="O1232">
        <v>59.947124560262097</v>
      </c>
      <c r="P1232">
        <v>-1.4855253385016301E-2</v>
      </c>
      <c r="Q1232">
        <v>0</v>
      </c>
      <c r="R1232">
        <v>0.35019648482587901</v>
      </c>
      <c r="S1232" t="s">
        <v>2558</v>
      </c>
      <c r="T1232" t="s">
        <v>2650</v>
      </c>
      <c r="U1232" t="s">
        <v>2650</v>
      </c>
      <c r="V1232" t="s">
        <v>2650</v>
      </c>
      <c r="W1232" t="s">
        <v>3881</v>
      </c>
      <c r="X1232">
        <v>1</v>
      </c>
      <c r="Y1232" t="s">
        <v>5190</v>
      </c>
      <c r="Z1232" t="s">
        <v>6512</v>
      </c>
      <c r="AA1232">
        <v>0.7880887219383178</v>
      </c>
      <c r="AB1232" t="str">
        <f>HYPERLINK("Melting_Curves/meltCurve_Q9NTI5_2_PDS5B.pdf", "Melting_Curves/meltCurve_Q9NTI5_2_PDS5B.pdf")</f>
        <v>Melting_Curves/meltCurve_Q9NTI5_2_PDS5B.pdf</v>
      </c>
    </row>
    <row r="1233" spans="1:28" x14ac:dyDescent="0.25">
      <c r="A1233" t="s">
        <v>1237</v>
      </c>
      <c r="B1233">
        <v>1</v>
      </c>
      <c r="C1233">
        <v>0.85255111438570597</v>
      </c>
      <c r="D1233">
        <v>1.3320746607724001</v>
      </c>
      <c r="E1233">
        <v>1.43338245226254</v>
      </c>
      <c r="F1233">
        <v>0.97083563578314003</v>
      </c>
      <c r="G1233">
        <v>1.24006876650089</v>
      </c>
      <c r="H1233">
        <v>1.03883465340456</v>
      </c>
      <c r="I1233">
        <v>1.1407257321790401</v>
      </c>
      <c r="J1233">
        <v>0.88687296616933797</v>
      </c>
      <c r="K1233">
        <v>1.0537545281512899</v>
      </c>
      <c r="L1233">
        <v>11094.2403817171</v>
      </c>
      <c r="M1233">
        <v>250</v>
      </c>
      <c r="O1233">
        <v>44.374121778493901</v>
      </c>
      <c r="P1233">
        <v>0.193052040344283</v>
      </c>
      <c r="Q1233">
        <v>1.1370642355487199</v>
      </c>
      <c r="R1233">
        <v>0.18511980974542799</v>
      </c>
      <c r="S1233" t="s">
        <v>2559</v>
      </c>
      <c r="T1233" t="s">
        <v>2650</v>
      </c>
      <c r="U1233" t="s">
        <v>2650</v>
      </c>
      <c r="V1233" t="s">
        <v>2650</v>
      </c>
      <c r="W1233" t="s">
        <v>3882</v>
      </c>
      <c r="X1233">
        <v>2</v>
      </c>
      <c r="Y1233" t="s">
        <v>5191</v>
      </c>
      <c r="Z1233" t="s">
        <v>6513</v>
      </c>
      <c r="AA1233">
        <v>1.1170560646756611</v>
      </c>
      <c r="AB1233" t="str">
        <f>HYPERLINK("Melting_Curves/meltCurve_Q9NU53_GINM1.pdf", "Melting_Curves/meltCurve_Q9NU53_GINM1.pdf")</f>
        <v>Melting_Curves/meltCurve_Q9NU53_GINM1.pdf</v>
      </c>
    </row>
    <row r="1234" spans="1:28" x14ac:dyDescent="0.25">
      <c r="A1234" t="s">
        <v>1238</v>
      </c>
      <c r="B1234">
        <v>1</v>
      </c>
      <c r="C1234">
        <v>0.86627218934911199</v>
      </c>
      <c r="D1234">
        <v>1.3727247111862499</v>
      </c>
      <c r="E1234">
        <v>1.80952380952381</v>
      </c>
      <c r="F1234">
        <v>1.5395886165116901</v>
      </c>
      <c r="G1234">
        <v>1.8675119752042799</v>
      </c>
      <c r="H1234">
        <v>3.6740490278951801</v>
      </c>
      <c r="I1234">
        <v>6.2225979149056103</v>
      </c>
      <c r="J1234">
        <v>4.4253592561284902</v>
      </c>
      <c r="K1234">
        <v>5.8878557340095803</v>
      </c>
      <c r="L1234">
        <v>11450.573338492501</v>
      </c>
      <c r="M1234">
        <v>250</v>
      </c>
      <c r="O1234">
        <v>45.799362083867102</v>
      </c>
      <c r="P1234">
        <v>0.68232391150812799</v>
      </c>
      <c r="Q1234">
        <v>1.5</v>
      </c>
      <c r="R1234">
        <v>-0.48628267611301002</v>
      </c>
      <c r="S1234" t="s">
        <v>2560</v>
      </c>
      <c r="T1234" t="s">
        <v>2650</v>
      </c>
      <c r="U1234" t="s">
        <v>2650</v>
      </c>
      <c r="V1234" t="s">
        <v>2650</v>
      </c>
      <c r="W1234" t="s">
        <v>3883</v>
      </c>
      <c r="X1234">
        <v>4</v>
      </c>
      <c r="Y1234" t="s">
        <v>5192</v>
      </c>
      <c r="Z1234" t="s">
        <v>6514</v>
      </c>
      <c r="AA1234">
        <v>1.403254919611169</v>
      </c>
      <c r="AB1234" t="str">
        <f>HYPERLINK("Melting_Curves/meltCurve_Q9NY33_DPP3.pdf", "Melting_Curves/meltCurve_Q9NY33_DPP3.pdf")</f>
        <v>Melting_Curves/meltCurve_Q9NY33_DPP3.pdf</v>
      </c>
    </row>
    <row r="1235" spans="1:28" x14ac:dyDescent="0.25">
      <c r="A1235" t="s">
        <v>1239</v>
      </c>
      <c r="B1235">
        <v>1</v>
      </c>
      <c r="C1235">
        <v>0.82397034939407798</v>
      </c>
      <c r="D1235">
        <v>1.13047099487777</v>
      </c>
      <c r="E1235">
        <v>1.3780035813934099</v>
      </c>
      <c r="F1235">
        <v>1.08237204847374</v>
      </c>
      <c r="G1235">
        <v>1.0899929205014001</v>
      </c>
      <c r="H1235">
        <v>1.0935743139133001</v>
      </c>
      <c r="I1235">
        <v>1.36767584225211</v>
      </c>
      <c r="J1235">
        <v>0.92891350518469196</v>
      </c>
      <c r="K1235">
        <v>1.2830966559780099</v>
      </c>
      <c r="L1235">
        <v>11450.3468048819</v>
      </c>
      <c r="M1235">
        <v>250</v>
      </c>
      <c r="O1235">
        <v>45.798456007244901</v>
      </c>
      <c r="P1235">
        <v>0.23855079134495899</v>
      </c>
      <c r="Q1235">
        <v>1.17480412742921</v>
      </c>
      <c r="R1235">
        <v>0.31112023435117597</v>
      </c>
      <c r="S1235" t="s">
        <v>2561</v>
      </c>
      <c r="T1235" t="s">
        <v>2650</v>
      </c>
      <c r="U1235" t="s">
        <v>2650</v>
      </c>
      <c r="V1235" t="s">
        <v>2650</v>
      </c>
      <c r="W1235" t="s">
        <v>3884</v>
      </c>
      <c r="X1235">
        <v>2</v>
      </c>
      <c r="Y1235" t="s">
        <v>5193</v>
      </c>
      <c r="Z1235" t="s">
        <v>6515</v>
      </c>
      <c r="AA1235">
        <v>1.140986528854333</v>
      </c>
      <c r="AB1235" t="str">
        <f>HYPERLINK("Melting_Curves/meltCurve_Q9NYL9_TMOD3.pdf", "Melting_Curves/meltCurve_Q9NYL9_TMOD3.pdf")</f>
        <v>Melting_Curves/meltCurve_Q9NYL9_TMOD3.pdf</v>
      </c>
    </row>
    <row r="1236" spans="1:28" x14ac:dyDescent="0.25">
      <c r="A1236" t="s">
        <v>1240</v>
      </c>
      <c r="B1236">
        <v>1</v>
      </c>
      <c r="C1236">
        <v>0.70677670386884195</v>
      </c>
      <c r="D1236">
        <v>1.1095017862582699</v>
      </c>
      <c r="E1236">
        <v>1.1969038189924901</v>
      </c>
      <c r="F1236">
        <v>0.88363011991470297</v>
      </c>
      <c r="G1236">
        <v>0.8296823506605</v>
      </c>
      <c r="H1236">
        <v>0.82140186657066105</v>
      </c>
      <c r="I1236">
        <v>0.86884156304522397</v>
      </c>
      <c r="J1236">
        <v>0.573208895289263</v>
      </c>
      <c r="K1236">
        <v>0.71979284942812005</v>
      </c>
      <c r="L1236">
        <v>879.54459640904702</v>
      </c>
      <c r="M1236">
        <v>14.4688402475596</v>
      </c>
      <c r="O1236">
        <v>59.663068910327503</v>
      </c>
      <c r="P1236">
        <v>-2.2484022660026401E-2</v>
      </c>
      <c r="Q1236">
        <v>0.62918666090813802</v>
      </c>
      <c r="R1236">
        <v>0.41844763650146499</v>
      </c>
      <c r="S1236" t="s">
        <v>2562</v>
      </c>
      <c r="T1236" t="s">
        <v>2650</v>
      </c>
      <c r="U1236" t="s">
        <v>2650</v>
      </c>
      <c r="V1236" t="s">
        <v>2650</v>
      </c>
      <c r="W1236" t="s">
        <v>3885</v>
      </c>
      <c r="X1236">
        <v>1</v>
      </c>
      <c r="Y1236" t="s">
        <v>5194</v>
      </c>
      <c r="Z1236" t="s">
        <v>6516</v>
      </c>
      <c r="AA1236">
        <v>0.88716183232050583</v>
      </c>
      <c r="AB1236" t="str">
        <f>HYPERLINK("Melting_Curves/meltCurve_Q9NYT6_ZNF226.pdf", "Melting_Curves/meltCurve_Q9NYT6_ZNF226.pdf")</f>
        <v>Melting_Curves/meltCurve_Q9NYT6_ZNF226.pdf</v>
      </c>
    </row>
    <row r="1237" spans="1:28" x14ac:dyDescent="0.25">
      <c r="A1237" t="s">
        <v>1241</v>
      </c>
      <c r="B1237">
        <v>1</v>
      </c>
      <c r="C1237">
        <v>0.98203172933648897</v>
      </c>
      <c r="D1237">
        <v>1.27881497063722</v>
      </c>
      <c r="E1237">
        <v>1.6015426417740399</v>
      </c>
      <c r="F1237">
        <v>1.36059251468139</v>
      </c>
      <c r="G1237">
        <v>1.5692874046805201</v>
      </c>
      <c r="H1237">
        <v>1.3663774213340301</v>
      </c>
      <c r="I1237">
        <v>2.1979139276010198</v>
      </c>
      <c r="J1237">
        <v>1.6841090367253899</v>
      </c>
      <c r="K1237">
        <v>2.3821544394776102</v>
      </c>
      <c r="L1237">
        <v>11489.348756138899</v>
      </c>
      <c r="M1237">
        <v>250</v>
      </c>
      <c r="O1237">
        <v>45.954454340380302</v>
      </c>
      <c r="P1237">
        <v>0.68002113567622202</v>
      </c>
      <c r="Q1237">
        <v>1.5</v>
      </c>
      <c r="R1237">
        <v>0.28881539199335199</v>
      </c>
      <c r="S1237" t="s">
        <v>2563</v>
      </c>
      <c r="T1237" t="s">
        <v>2650</v>
      </c>
      <c r="U1237" t="s">
        <v>2650</v>
      </c>
      <c r="V1237" t="s">
        <v>2650</v>
      </c>
      <c r="W1237" t="s">
        <v>3886</v>
      </c>
      <c r="X1237">
        <v>2</v>
      </c>
      <c r="Y1237" t="s">
        <v>5195</v>
      </c>
      <c r="Z1237" t="s">
        <v>6517</v>
      </c>
      <c r="AA1237">
        <v>1.4006697556675669</v>
      </c>
      <c r="AB1237" t="str">
        <f>HYPERLINK("Melting_Curves/meltCurve_Q9NZ08_ERAP1.pdf", "Melting_Curves/meltCurve_Q9NZ08_ERAP1.pdf")</f>
        <v>Melting_Curves/meltCurve_Q9NZ08_ERAP1.pdf</v>
      </c>
    </row>
    <row r="1238" spans="1:28" x14ac:dyDescent="0.25">
      <c r="A1238" t="s">
        <v>1242</v>
      </c>
      <c r="B1238">
        <v>1</v>
      </c>
      <c r="C1238">
        <v>1.2395833333333299</v>
      </c>
      <c r="D1238">
        <v>1.3725152905198801</v>
      </c>
      <c r="E1238">
        <v>1.7093845565749199</v>
      </c>
      <c r="F1238">
        <v>1.50879204892966</v>
      </c>
      <c r="G1238">
        <v>2.0246559633027501</v>
      </c>
      <c r="H1238">
        <v>1.5479740061162099</v>
      </c>
      <c r="I1238">
        <v>1.5953746177370001</v>
      </c>
      <c r="J1238">
        <v>1.5120412844036699</v>
      </c>
      <c r="K1238">
        <v>1.8423165137614701</v>
      </c>
      <c r="L1238">
        <v>1461.80737538779</v>
      </c>
      <c r="M1238">
        <v>33.781058958438202</v>
      </c>
      <c r="O1238">
        <v>43.122203010325798</v>
      </c>
      <c r="P1238">
        <v>9.7922895788298603E-2</v>
      </c>
      <c r="Q1238">
        <v>1.5</v>
      </c>
      <c r="R1238">
        <v>0.40679382077036302</v>
      </c>
      <c r="S1238" t="s">
        <v>2564</v>
      </c>
      <c r="T1238" t="s">
        <v>2650</v>
      </c>
      <c r="U1238" t="s">
        <v>2650</v>
      </c>
      <c r="V1238" t="s">
        <v>2650</v>
      </c>
      <c r="W1238" t="s">
        <v>3887</v>
      </c>
      <c r="X1238">
        <v>1</v>
      </c>
      <c r="Y1238" t="s">
        <v>5196</v>
      </c>
      <c r="Z1238" t="s">
        <v>6518</v>
      </c>
      <c r="AA1238">
        <v>1.4422875243616859</v>
      </c>
      <c r="AB1238" t="str">
        <f>HYPERLINK("Melting_Curves/meltCurve_Q9NZ20_PLA2G3.pdf", "Melting_Curves/meltCurve_Q9NZ20_PLA2G3.pdf")</f>
        <v>Melting_Curves/meltCurve_Q9NZ20_PLA2G3.pdf</v>
      </c>
    </row>
    <row r="1239" spans="1:28" x14ac:dyDescent="0.25">
      <c r="A1239" t="s">
        <v>1243</v>
      </c>
      <c r="B1239">
        <v>1</v>
      </c>
      <c r="C1239">
        <v>1.0257210754391699</v>
      </c>
      <c r="D1239">
        <v>1.08051814920088</v>
      </c>
      <c r="E1239">
        <v>1.23563673640557</v>
      </c>
      <c r="F1239">
        <v>1.1342901076371099</v>
      </c>
      <c r="G1239">
        <v>1.1220353198825801</v>
      </c>
      <c r="H1239">
        <v>0.998974884674526</v>
      </c>
      <c r="I1239">
        <v>1.1599179907739601</v>
      </c>
      <c r="J1239">
        <v>1.0133730953823199</v>
      </c>
      <c r="K1239">
        <v>1.1389963189040599</v>
      </c>
      <c r="L1239">
        <v>1991.9650368540899</v>
      </c>
      <c r="M1239">
        <v>44.804604136485203</v>
      </c>
      <c r="O1239">
        <v>44.370642847553299</v>
      </c>
      <c r="P1239">
        <v>2.8647305958848599E-2</v>
      </c>
      <c r="Q1239">
        <v>1.1134792009098899</v>
      </c>
      <c r="R1239">
        <v>0.27935028324532402</v>
      </c>
      <c r="S1239" t="s">
        <v>2565</v>
      </c>
      <c r="T1239" t="s">
        <v>2650</v>
      </c>
      <c r="U1239" t="s">
        <v>2650</v>
      </c>
      <c r="V1239" t="s">
        <v>2650</v>
      </c>
      <c r="W1239" t="s">
        <v>3888</v>
      </c>
      <c r="X1239">
        <v>2</v>
      </c>
      <c r="Y1239" t="s">
        <v>5197</v>
      </c>
      <c r="Z1239" t="s">
        <v>6519</v>
      </c>
      <c r="AA1239">
        <v>1.096315382745668</v>
      </c>
      <c r="AB1239" t="str">
        <f>HYPERLINK("Melting_Curves/meltCurve_Q9NZ53_PODXL2.pdf", "Melting_Curves/meltCurve_Q9NZ53_PODXL2.pdf")</f>
        <v>Melting_Curves/meltCurve_Q9NZ53_PODXL2.pdf</v>
      </c>
    </row>
    <row r="1240" spans="1:28" x14ac:dyDescent="0.25">
      <c r="A1240" t="s">
        <v>1244</v>
      </c>
      <c r="B1240">
        <v>1</v>
      </c>
      <c r="C1240">
        <v>0.87914292081887402</v>
      </c>
      <c r="D1240">
        <v>1.37632525709192</v>
      </c>
      <c r="E1240">
        <v>1.46075965487599</v>
      </c>
      <c r="F1240">
        <v>0.96217644624152299</v>
      </c>
      <c r="G1240">
        <v>1.21051291031233</v>
      </c>
      <c r="H1240">
        <v>0.97984654080040701</v>
      </c>
      <c r="I1240">
        <v>1.34286351045879</v>
      </c>
      <c r="J1240">
        <v>1.00210130854214</v>
      </c>
      <c r="K1240">
        <v>1.3550574676048299</v>
      </c>
      <c r="L1240">
        <v>11093.595707763399</v>
      </c>
      <c r="M1240">
        <v>250</v>
      </c>
      <c r="O1240">
        <v>44.371543237041699</v>
      </c>
      <c r="P1240">
        <v>0.29749278188006001</v>
      </c>
      <c r="Q1240">
        <v>1.21120342075135</v>
      </c>
      <c r="R1240">
        <v>0.26864214572973</v>
      </c>
      <c r="S1240" t="s">
        <v>2566</v>
      </c>
      <c r="T1240" t="s">
        <v>2650</v>
      </c>
      <c r="U1240" t="s">
        <v>2650</v>
      </c>
      <c r="V1240" t="s">
        <v>2650</v>
      </c>
      <c r="W1240" t="s">
        <v>3889</v>
      </c>
      <c r="X1240">
        <v>1</v>
      </c>
      <c r="Y1240" t="s">
        <v>5198</v>
      </c>
      <c r="Z1240" t="s">
        <v>6520</v>
      </c>
      <c r="AA1240">
        <v>1.1803908190797521</v>
      </c>
      <c r="AB1240" t="str">
        <f>HYPERLINK("Melting_Curves/meltCurve_Q9NZJ5_EIF2AK3.pdf", "Melting_Curves/meltCurve_Q9NZJ5_EIF2AK3.pdf")</f>
        <v>Melting_Curves/meltCurve_Q9NZJ5_EIF2AK3.pdf</v>
      </c>
    </row>
    <row r="1241" spans="1:28" x14ac:dyDescent="0.25">
      <c r="A1241" t="s">
        <v>1245</v>
      </c>
      <c r="B1241">
        <v>1</v>
      </c>
      <c r="C1241">
        <v>0.78765996997211696</v>
      </c>
      <c r="D1241">
        <v>1.3367174280879901</v>
      </c>
      <c r="E1241">
        <v>1.36281308834394</v>
      </c>
      <c r="F1241">
        <v>1.3217034865708599</v>
      </c>
      <c r="G1241">
        <v>1.2732060723052401</v>
      </c>
      <c r="H1241">
        <v>1.3389814351421601</v>
      </c>
      <c r="I1241">
        <v>1.6010104620957599</v>
      </c>
      <c r="J1241">
        <v>1.09810300040514</v>
      </c>
      <c r="K1241">
        <v>1.20480922761612</v>
      </c>
      <c r="L1241">
        <v>11153.344404916699</v>
      </c>
      <c r="M1241">
        <v>250</v>
      </c>
      <c r="O1241">
        <v>44.610500222595903</v>
      </c>
      <c r="P1241">
        <v>0.44438314529365802</v>
      </c>
      <c r="Q1241">
        <v>1.3171866308443501</v>
      </c>
      <c r="R1241">
        <v>0.58016761442436404</v>
      </c>
      <c r="S1241" t="s">
        <v>2567</v>
      </c>
      <c r="T1241" t="s">
        <v>2650</v>
      </c>
      <c r="U1241" t="s">
        <v>2650</v>
      </c>
      <c r="V1241" t="s">
        <v>2650</v>
      </c>
      <c r="W1241" t="s">
        <v>3890</v>
      </c>
      <c r="X1241">
        <v>1</v>
      </c>
      <c r="Y1241" t="s">
        <v>5199</v>
      </c>
      <c r="Z1241" t="s">
        <v>6521</v>
      </c>
      <c r="AA1241">
        <v>1.268385073002114</v>
      </c>
      <c r="AB1241" t="str">
        <f>HYPERLINK("Melting_Curves/meltCurve_Q9NZM1_4_MYOF.pdf", "Melting_Curves/meltCurve_Q9NZM1_4_MYOF.pdf")</f>
        <v>Melting_Curves/meltCurve_Q9NZM1_4_MYOF.pdf</v>
      </c>
    </row>
    <row r="1242" spans="1:28" x14ac:dyDescent="0.25">
      <c r="A1242" t="s">
        <v>1246</v>
      </c>
      <c r="B1242">
        <v>1</v>
      </c>
      <c r="C1242">
        <v>1.1613055818353799</v>
      </c>
      <c r="D1242">
        <v>0.85077836071213597</v>
      </c>
      <c r="E1242">
        <v>1.3071729594908399</v>
      </c>
      <c r="F1242">
        <v>0.98598090651070802</v>
      </c>
      <c r="G1242">
        <v>1.2706631117227101</v>
      </c>
      <c r="H1242">
        <v>1.08488862131246</v>
      </c>
      <c r="I1242">
        <v>1.36372237034489</v>
      </c>
      <c r="J1242">
        <v>1.1911499096929601</v>
      </c>
      <c r="K1242">
        <v>1.19777242624925</v>
      </c>
      <c r="L1242">
        <v>628.95155452146696</v>
      </c>
      <c r="M1242">
        <v>12.370674666198701</v>
      </c>
      <c r="O1242">
        <v>49.568358397593698</v>
      </c>
      <c r="P1242">
        <v>1.4579108888211101E-2</v>
      </c>
      <c r="Q1242">
        <v>1.23361949807437</v>
      </c>
      <c r="R1242">
        <v>0.25914950690687599</v>
      </c>
      <c r="S1242" t="s">
        <v>2568</v>
      </c>
      <c r="T1242" t="s">
        <v>2650</v>
      </c>
      <c r="U1242" t="s">
        <v>2650</v>
      </c>
      <c r="V1242" t="s">
        <v>2650</v>
      </c>
      <c r="W1242" t="s">
        <v>3891</v>
      </c>
      <c r="X1242">
        <v>1</v>
      </c>
      <c r="Y1242" t="s">
        <v>5200</v>
      </c>
      <c r="Z1242" t="s">
        <v>6522</v>
      </c>
      <c r="AA1242">
        <v>1.1418317803004061</v>
      </c>
      <c r="AB1242" t="str">
        <f>HYPERLINK("Melting_Curves/meltCurve_Q9NZM3_4_ITSN2.pdf", "Melting_Curves/meltCurve_Q9NZM3_4_ITSN2.pdf")</f>
        <v>Melting_Curves/meltCurve_Q9NZM3_4_ITSN2.pdf</v>
      </c>
    </row>
    <row r="1243" spans="1:28" x14ac:dyDescent="0.25">
      <c r="A1243" t="s">
        <v>1247</v>
      </c>
      <c r="B1243">
        <v>1</v>
      </c>
      <c r="C1243">
        <v>0.69879415519931898</v>
      </c>
      <c r="D1243">
        <v>1.1515959710597199</v>
      </c>
      <c r="E1243">
        <v>1.54194921265428</v>
      </c>
      <c r="F1243">
        <v>1.20714995034757</v>
      </c>
      <c r="G1243">
        <v>1.37667754291389</v>
      </c>
      <c r="H1243">
        <v>1.3050078025251799</v>
      </c>
      <c r="I1243">
        <v>1.663129521918</v>
      </c>
      <c r="J1243">
        <v>0.97764221875443302</v>
      </c>
      <c r="K1243">
        <v>1.54960987374096</v>
      </c>
      <c r="L1243">
        <v>11517.7241926762</v>
      </c>
      <c r="M1243">
        <v>250</v>
      </c>
      <c r="O1243">
        <v>46.0679610999684</v>
      </c>
      <c r="P1243">
        <v>0.50801630392787001</v>
      </c>
      <c r="Q1243">
        <v>1.3744523031358</v>
      </c>
      <c r="R1243">
        <v>0.48197202613742002</v>
      </c>
      <c r="S1243" t="s">
        <v>2569</v>
      </c>
      <c r="T1243" t="s">
        <v>2650</v>
      </c>
      <c r="U1243" t="s">
        <v>2650</v>
      </c>
      <c r="V1243" t="s">
        <v>2650</v>
      </c>
      <c r="W1243" t="s">
        <v>3892</v>
      </c>
      <c r="X1243">
        <v>2</v>
      </c>
      <c r="Y1243" t="s">
        <v>5201</v>
      </c>
      <c r="Z1243" t="s">
        <v>6523</v>
      </c>
      <c r="AA1243">
        <v>1.2986466513494661</v>
      </c>
      <c r="AB1243" t="str">
        <f>HYPERLINK("Melting_Curves/meltCurve_Q9NZP8_C1RL.pdf", "Melting_Curves/meltCurve_Q9NZP8_C1RL.pdf")</f>
        <v>Melting_Curves/meltCurve_Q9NZP8_C1RL.pdf</v>
      </c>
    </row>
    <row r="1244" spans="1:28" x14ac:dyDescent="0.25">
      <c r="A1244" t="s">
        <v>1248</v>
      </c>
      <c r="B1244">
        <v>1</v>
      </c>
      <c r="C1244">
        <v>0.76506087400357303</v>
      </c>
      <c r="D1244">
        <v>1.1655983066368401</v>
      </c>
      <c r="E1244">
        <v>1.4742918049029501</v>
      </c>
      <c r="F1244">
        <v>1.0054343746716099</v>
      </c>
      <c r="G1244">
        <v>1.0215573536697</v>
      </c>
      <c r="H1244">
        <v>0.90552895080539797</v>
      </c>
      <c r="I1244">
        <v>1.1048293876570601</v>
      </c>
      <c r="J1244">
        <v>0.62834581838379899</v>
      </c>
      <c r="K1244">
        <v>0.95122573671805799</v>
      </c>
      <c r="L1244">
        <v>15000</v>
      </c>
      <c r="M1244">
        <v>229.34289931928299</v>
      </c>
      <c r="O1244">
        <v>65.399284685144494</v>
      </c>
      <c r="P1244">
        <v>-0.184081473482684</v>
      </c>
      <c r="Q1244">
        <v>0.79002977662779905</v>
      </c>
      <c r="R1244">
        <v>0.18733992332260199</v>
      </c>
      <c r="S1244" t="s">
        <v>2570</v>
      </c>
      <c r="T1244" t="s">
        <v>2650</v>
      </c>
      <c r="U1244" t="s">
        <v>2650</v>
      </c>
      <c r="V1244" t="s">
        <v>2650</v>
      </c>
      <c r="W1244" t="s">
        <v>3893</v>
      </c>
      <c r="X1244">
        <v>6</v>
      </c>
      <c r="Y1244" t="s">
        <v>5202</v>
      </c>
      <c r="Z1244" t="s">
        <v>6524</v>
      </c>
      <c r="AA1244">
        <v>0.96786294044859733</v>
      </c>
      <c r="AB1244" t="str">
        <f>HYPERLINK("Melting_Curves/meltCurve_Q9NZV1_CRIM1.pdf", "Melting_Curves/meltCurve_Q9NZV1_CRIM1.pdf")</f>
        <v>Melting_Curves/meltCurve_Q9NZV1_CRIM1.pdf</v>
      </c>
    </row>
    <row r="1245" spans="1:28" x14ac:dyDescent="0.25">
      <c r="A1245" t="s">
        <v>1249</v>
      </c>
      <c r="B1245">
        <v>1</v>
      </c>
      <c r="C1245">
        <v>0.79004076878276097</v>
      </c>
      <c r="D1245">
        <v>1.0640166957872299</v>
      </c>
      <c r="E1245">
        <v>1.1836536594836</v>
      </c>
      <c r="F1245">
        <v>0.91176470588235303</v>
      </c>
      <c r="G1245">
        <v>0.92517634116352798</v>
      </c>
      <c r="H1245">
        <v>0.82647382385297397</v>
      </c>
      <c r="I1245">
        <v>0.917394680644535</v>
      </c>
      <c r="J1245">
        <v>0.59913932569727602</v>
      </c>
      <c r="K1245">
        <v>0.76226299100498296</v>
      </c>
      <c r="L1245">
        <v>1048.0571361126799</v>
      </c>
      <c r="M1245">
        <v>16.809484612722599</v>
      </c>
      <c r="O1245">
        <v>61.486780768998102</v>
      </c>
      <c r="P1245">
        <v>-2.33315821831315E-2</v>
      </c>
      <c r="Q1245">
        <v>0.65864712596652997</v>
      </c>
      <c r="R1245">
        <v>0.47449959146019999</v>
      </c>
      <c r="S1245" t="s">
        <v>2571</v>
      </c>
      <c r="T1245" t="s">
        <v>2650</v>
      </c>
      <c r="U1245" t="s">
        <v>2650</v>
      </c>
      <c r="V1245" t="s">
        <v>2650</v>
      </c>
      <c r="W1245" t="s">
        <v>3894</v>
      </c>
      <c r="X1245">
        <v>3</v>
      </c>
      <c r="Y1245" t="s">
        <v>5203</v>
      </c>
      <c r="Z1245" t="s">
        <v>6525</v>
      </c>
      <c r="AA1245">
        <v>0.91239836633206373</v>
      </c>
      <c r="AB1245" t="str">
        <f>HYPERLINK("Melting_Curves/meltCurve_Q9NZZ3_CHMP5.pdf", "Melting_Curves/meltCurve_Q9NZZ3_CHMP5.pdf")</f>
        <v>Melting_Curves/meltCurve_Q9NZZ3_CHMP5.pdf</v>
      </c>
    </row>
    <row r="1246" spans="1:28" x14ac:dyDescent="0.25">
      <c r="A1246" t="s">
        <v>1250</v>
      </c>
      <c r="B1246">
        <v>1</v>
      </c>
      <c r="C1246">
        <v>0.71490941733311597</v>
      </c>
      <c r="D1246">
        <v>1.11963440509221</v>
      </c>
      <c r="E1246">
        <v>1.35445568793863</v>
      </c>
      <c r="F1246">
        <v>0.75481475436592105</v>
      </c>
      <c r="G1246">
        <v>0.74216582340460302</v>
      </c>
      <c r="H1246">
        <v>0.72200913987269499</v>
      </c>
      <c r="I1246">
        <v>0.54945323975844595</v>
      </c>
      <c r="J1246">
        <v>0.32413089603394801</v>
      </c>
      <c r="K1246">
        <v>0.52905173820793205</v>
      </c>
      <c r="L1246">
        <v>1068.4804062021899</v>
      </c>
      <c r="M1246">
        <v>18.111600961572599</v>
      </c>
      <c r="N1246">
        <v>65.344018375068003</v>
      </c>
      <c r="O1246">
        <v>58.289165874239202</v>
      </c>
      <c r="P1246">
        <v>-4.5524524120438802E-2</v>
      </c>
      <c r="Q1246">
        <v>0.413975885383144</v>
      </c>
      <c r="R1246">
        <v>0.62268272205500597</v>
      </c>
      <c r="S1246" t="s">
        <v>2572</v>
      </c>
      <c r="T1246" t="s">
        <v>2650</v>
      </c>
      <c r="U1246" t="s">
        <v>2650</v>
      </c>
      <c r="V1246" t="s">
        <v>2650</v>
      </c>
      <c r="W1246" t="s">
        <v>3895</v>
      </c>
      <c r="X1246">
        <v>2</v>
      </c>
      <c r="Y1246" t="s">
        <v>5204</v>
      </c>
      <c r="Z1246" t="s">
        <v>6526</v>
      </c>
      <c r="AA1246">
        <v>0.79121094180181162</v>
      </c>
      <c r="AB1246" t="str">
        <f>HYPERLINK("Melting_Curves/meltCurve_Q9P0K7_RAI14.pdf", "Melting_Curves/meltCurve_Q9P0K7_RAI14.pdf")</f>
        <v>Melting_Curves/meltCurve_Q9P0K7_RAI14.pdf</v>
      </c>
    </row>
    <row r="1247" spans="1:28" x14ac:dyDescent="0.25">
      <c r="A1247" t="s">
        <v>1251</v>
      </c>
      <c r="B1247">
        <v>1</v>
      </c>
      <c r="C1247">
        <v>0.71986970684039098</v>
      </c>
      <c r="D1247">
        <v>1.1133957654723099</v>
      </c>
      <c r="E1247">
        <v>1.36368078175896</v>
      </c>
      <c r="F1247">
        <v>0.97919381107491898</v>
      </c>
      <c r="G1247">
        <v>0.96425081433224802</v>
      </c>
      <c r="H1247">
        <v>0.99136807817589601</v>
      </c>
      <c r="I1247">
        <v>1.05875407166124</v>
      </c>
      <c r="J1247">
        <v>0.65741042345276901</v>
      </c>
      <c r="K1247">
        <v>0.93127035830618898</v>
      </c>
      <c r="L1247">
        <v>15000</v>
      </c>
      <c r="M1247">
        <v>229.54470280737101</v>
      </c>
      <c r="O1247">
        <v>65.341780291721193</v>
      </c>
      <c r="P1247">
        <v>-0.180512640590198</v>
      </c>
      <c r="Q1247">
        <v>0.79446236623032496</v>
      </c>
      <c r="R1247">
        <v>0.22923662726937799</v>
      </c>
      <c r="S1247" t="s">
        <v>2573</v>
      </c>
      <c r="T1247" t="s">
        <v>2650</v>
      </c>
      <c r="U1247" t="s">
        <v>2650</v>
      </c>
      <c r="V1247" t="s">
        <v>2650</v>
      </c>
      <c r="W1247" t="s">
        <v>3896</v>
      </c>
      <c r="X1247">
        <v>1</v>
      </c>
      <c r="Y1247" t="s">
        <v>5205</v>
      </c>
      <c r="Z1247" t="s">
        <v>6527</v>
      </c>
      <c r="AA1247">
        <v>0.96814735140963804</v>
      </c>
      <c r="AB1247" t="str">
        <f>HYPERLINK("Melting_Curves/meltCurve_Q9P0L0_VAPA.pdf", "Melting_Curves/meltCurve_Q9P0L0_VAPA.pdf")</f>
        <v>Melting_Curves/meltCurve_Q9P0L0_VAPA.pdf</v>
      </c>
    </row>
    <row r="1248" spans="1:28" x14ac:dyDescent="0.25">
      <c r="A1248" t="s">
        <v>1252</v>
      </c>
      <c r="B1248">
        <v>1</v>
      </c>
      <c r="C1248">
        <v>0.71830119899863898</v>
      </c>
      <c r="D1248">
        <v>1.16055455517004</v>
      </c>
      <c r="E1248">
        <v>1.3537997569795199</v>
      </c>
      <c r="F1248">
        <v>0.968304858945642</v>
      </c>
      <c r="G1248">
        <v>0.90498777577700695</v>
      </c>
      <c r="H1248">
        <v>0.94278770843398196</v>
      </c>
      <c r="I1248">
        <v>1.09666652026879</v>
      </c>
      <c r="J1248">
        <v>0.59897228688128601</v>
      </c>
      <c r="K1248">
        <v>0.88421391658248805</v>
      </c>
      <c r="L1248">
        <v>15000</v>
      </c>
      <c r="M1248">
        <v>229.31987192085501</v>
      </c>
      <c r="O1248">
        <v>65.405853733125895</v>
      </c>
      <c r="P1248">
        <v>-0.22644468148343999</v>
      </c>
      <c r="Q1248">
        <v>0.74165684298430601</v>
      </c>
      <c r="R1248">
        <v>0.28814007185523299</v>
      </c>
      <c r="S1248" t="s">
        <v>2574</v>
      </c>
      <c r="T1248" t="s">
        <v>2650</v>
      </c>
      <c r="U1248" t="s">
        <v>2650</v>
      </c>
      <c r="V1248" t="s">
        <v>2650</v>
      </c>
      <c r="W1248" t="s">
        <v>3897</v>
      </c>
      <c r="X1248">
        <v>2</v>
      </c>
      <c r="Y1248" t="s">
        <v>5206</v>
      </c>
      <c r="Z1248" t="s">
        <v>6528</v>
      </c>
      <c r="AA1248">
        <v>0.96051577305345759</v>
      </c>
      <c r="AB1248" t="str">
        <f>HYPERLINK("Melting_Curves/meltCurve_Q9P0S2_COX16.pdf", "Melting_Curves/meltCurve_Q9P0S2_COX16.pdf")</f>
        <v>Melting_Curves/meltCurve_Q9P0S2_COX16.pdf</v>
      </c>
    </row>
    <row r="1249" spans="1:28" x14ac:dyDescent="0.25">
      <c r="A1249" t="s">
        <v>1253</v>
      </c>
      <c r="B1249">
        <v>1</v>
      </c>
      <c r="C1249">
        <v>0.88418817379941195</v>
      </c>
      <c r="D1249">
        <v>1.3440233765290901</v>
      </c>
      <c r="E1249">
        <v>1.8396312025844901</v>
      </c>
      <c r="F1249">
        <v>1.53136229990199</v>
      </c>
      <c r="G1249">
        <v>1.9808341500598901</v>
      </c>
      <c r="H1249">
        <v>1.96123271262115</v>
      </c>
      <c r="I1249">
        <v>2.3901049039892599</v>
      </c>
      <c r="J1249">
        <v>1.6529456604595401</v>
      </c>
      <c r="K1249">
        <v>2.1942720243928999</v>
      </c>
      <c r="L1249">
        <v>11463.613848294901</v>
      </c>
      <c r="M1249">
        <v>250</v>
      </c>
      <c r="O1249">
        <v>45.851523574147997</v>
      </c>
      <c r="P1249">
        <v>0.68154772939405195</v>
      </c>
      <c r="Q1249">
        <v>1.5</v>
      </c>
      <c r="R1249">
        <v>0.14750557892636901</v>
      </c>
      <c r="S1249" t="s">
        <v>2575</v>
      </c>
      <c r="T1249" t="s">
        <v>2650</v>
      </c>
      <c r="U1249" t="s">
        <v>2650</v>
      </c>
      <c r="V1249" t="s">
        <v>2650</v>
      </c>
      <c r="W1249" t="s">
        <v>3898</v>
      </c>
      <c r="X1249">
        <v>4</v>
      </c>
      <c r="Y1249" t="s">
        <v>5207</v>
      </c>
      <c r="Z1249" t="s">
        <v>6529</v>
      </c>
      <c r="AA1249">
        <v>1.4023855065192261</v>
      </c>
      <c r="AB1249" t="str">
        <f>HYPERLINK("Melting_Curves/meltCurve_Q9P232_CNTN3.pdf", "Melting_Curves/meltCurve_Q9P232_CNTN3.pdf")</f>
        <v>Melting_Curves/meltCurve_Q9P232_CNTN3.pdf</v>
      </c>
    </row>
    <row r="1250" spans="1:28" x14ac:dyDescent="0.25">
      <c r="A1250" t="s">
        <v>1254</v>
      </c>
      <c r="B1250">
        <v>1</v>
      </c>
      <c r="C1250">
        <v>0.764644829556275</v>
      </c>
      <c r="D1250">
        <v>1.11683488859265</v>
      </c>
      <c r="E1250">
        <v>1.12883260331365</v>
      </c>
      <c r="F1250">
        <v>1.0151399733384101</v>
      </c>
      <c r="G1250">
        <v>0.97952770900780795</v>
      </c>
      <c r="H1250">
        <v>0.85065701771091196</v>
      </c>
      <c r="I1250">
        <v>1.0533231765377999</v>
      </c>
      <c r="J1250">
        <v>0.72968006094077298</v>
      </c>
      <c r="K1250">
        <v>0.81384498190820798</v>
      </c>
      <c r="L1250">
        <v>1348.19946156987</v>
      </c>
      <c r="M1250">
        <v>20.359908483645999</v>
      </c>
      <c r="O1250">
        <v>65.589456434864104</v>
      </c>
      <c r="P1250">
        <v>-2.2774501370203901E-2</v>
      </c>
      <c r="Q1250">
        <v>0.70653662685498897</v>
      </c>
      <c r="R1250">
        <v>0.30053445717342497</v>
      </c>
      <c r="S1250" t="s">
        <v>2576</v>
      </c>
      <c r="T1250" t="s">
        <v>2650</v>
      </c>
      <c r="U1250" t="s">
        <v>2650</v>
      </c>
      <c r="V1250" t="s">
        <v>2650</v>
      </c>
      <c r="W1250" t="s">
        <v>3899</v>
      </c>
      <c r="X1250">
        <v>2</v>
      </c>
      <c r="Y1250" t="s">
        <v>5208</v>
      </c>
      <c r="Z1250" t="s">
        <v>6530</v>
      </c>
      <c r="AA1250">
        <v>0.95674035160733473</v>
      </c>
      <c r="AB1250" t="str">
        <f>HYPERLINK("Melting_Curves/meltCurve_Q9P265_DIP2B.pdf", "Melting_Curves/meltCurve_Q9P265_DIP2B.pdf")</f>
        <v>Melting_Curves/meltCurve_Q9P265_DIP2B.pdf</v>
      </c>
    </row>
    <row r="1251" spans="1:28" x14ac:dyDescent="0.25">
      <c r="A1251" t="s">
        <v>1255</v>
      </c>
      <c r="B1251">
        <v>1</v>
      </c>
      <c r="C1251">
        <v>0.71175561414674104</v>
      </c>
      <c r="D1251">
        <v>1.1217383398490799</v>
      </c>
      <c r="E1251">
        <v>1.29000818256205</v>
      </c>
      <c r="F1251">
        <v>0.88113464860441904</v>
      </c>
      <c r="G1251">
        <v>0.97379761796526998</v>
      </c>
      <c r="H1251">
        <v>0.87822529320847398</v>
      </c>
      <c r="I1251">
        <v>1.0185107737067001</v>
      </c>
      <c r="J1251">
        <v>0.60470951904718595</v>
      </c>
      <c r="K1251">
        <v>0.89264478588962604</v>
      </c>
      <c r="L1251">
        <v>15000</v>
      </c>
      <c r="M1251">
        <v>230.08300239447499</v>
      </c>
      <c r="O1251">
        <v>65.1889387473813</v>
      </c>
      <c r="P1251">
        <v>-0.22172452251601199</v>
      </c>
      <c r="Q1251">
        <v>0.74871700847399703</v>
      </c>
      <c r="R1251">
        <v>0.25461004425898098</v>
      </c>
      <c r="S1251" t="s">
        <v>2577</v>
      </c>
      <c r="T1251" t="s">
        <v>2650</v>
      </c>
      <c r="U1251" t="s">
        <v>2650</v>
      </c>
      <c r="V1251" t="s">
        <v>2650</v>
      </c>
      <c r="W1251" t="s">
        <v>3900</v>
      </c>
      <c r="X1251">
        <v>22</v>
      </c>
      <c r="Y1251" t="s">
        <v>5209</v>
      </c>
      <c r="Z1251" t="s">
        <v>6531</v>
      </c>
      <c r="AA1251">
        <v>0.95977727108949185</v>
      </c>
      <c r="AB1251" t="str">
        <f>HYPERLINK("Melting_Curves/meltCurve_Q9P2E9_2_RRBP1.pdf", "Melting_Curves/meltCurve_Q9P2E9_2_RRBP1.pdf")</f>
        <v>Melting_Curves/meltCurve_Q9P2E9_2_RRBP1.pdf</v>
      </c>
    </row>
    <row r="1252" spans="1:28" x14ac:dyDescent="0.25">
      <c r="A1252" t="s">
        <v>1256</v>
      </c>
      <c r="B1252">
        <v>1</v>
      </c>
      <c r="C1252">
        <v>0.91727909759015602</v>
      </c>
      <c r="D1252">
        <v>1.3253005184299</v>
      </c>
      <c r="E1252">
        <v>1.79764142881559</v>
      </c>
      <c r="F1252">
        <v>1.35110807269413</v>
      </c>
      <c r="G1252">
        <v>1.82982965874779</v>
      </c>
      <c r="H1252">
        <v>1.2706659830228499</v>
      </c>
      <c r="I1252">
        <v>1.8060160656298101</v>
      </c>
      <c r="J1252">
        <v>1.30336694582123</v>
      </c>
      <c r="K1252">
        <v>1.7565088588845199</v>
      </c>
      <c r="L1252">
        <v>11471.402623644501</v>
      </c>
      <c r="M1252">
        <v>250</v>
      </c>
      <c r="O1252">
        <v>45.882652325907799</v>
      </c>
      <c r="P1252">
        <v>0.68108497435712401</v>
      </c>
      <c r="Q1252">
        <v>1.5</v>
      </c>
      <c r="R1252">
        <v>0.54522880098842197</v>
      </c>
      <c r="S1252" t="s">
        <v>2578</v>
      </c>
      <c r="T1252" t="s">
        <v>2650</v>
      </c>
      <c r="U1252" t="s">
        <v>2650</v>
      </c>
      <c r="V1252" t="s">
        <v>2650</v>
      </c>
      <c r="W1252" t="s">
        <v>3901</v>
      </c>
      <c r="X1252">
        <v>1</v>
      </c>
      <c r="Y1252" t="s">
        <v>5210</v>
      </c>
      <c r="Z1252" t="s">
        <v>6532</v>
      </c>
      <c r="AA1252">
        <v>1.4018662274908931</v>
      </c>
      <c r="AB1252" t="str">
        <f>HYPERLINK("Melting_Curves/meltCurve_Q9P2T1_3_GMPR2.pdf", "Melting_Curves/meltCurve_Q9P2T1_3_GMPR2.pdf")</f>
        <v>Melting_Curves/meltCurve_Q9P2T1_3_GMPR2.pdf</v>
      </c>
    </row>
    <row r="1253" spans="1:28" x14ac:dyDescent="0.25">
      <c r="A1253" t="s">
        <v>1257</v>
      </c>
      <c r="B1253">
        <v>1</v>
      </c>
      <c r="C1253">
        <v>0.79450541865120405</v>
      </c>
      <c r="D1253">
        <v>1.1885828673983601</v>
      </c>
      <c r="E1253">
        <v>1.3418237040104899</v>
      </c>
      <c r="F1253">
        <v>1.01408159039139</v>
      </c>
      <c r="G1253">
        <v>0.92593359563746802</v>
      </c>
      <c r="H1253">
        <v>0.89666597639262802</v>
      </c>
      <c r="I1253">
        <v>1.0445226755021699</v>
      </c>
      <c r="J1253">
        <v>0.68208048595292303</v>
      </c>
      <c r="K1253">
        <v>0.83951128598053404</v>
      </c>
      <c r="L1253">
        <v>15000</v>
      </c>
      <c r="M1253">
        <v>229.40243489055501</v>
      </c>
      <c r="O1253">
        <v>65.382310545839204</v>
      </c>
      <c r="P1253">
        <v>-0.20995977956821499</v>
      </c>
      <c r="Q1253">
        <v>0.760636291950051</v>
      </c>
      <c r="R1253">
        <v>0.321073030453491</v>
      </c>
      <c r="S1253" t="s">
        <v>2579</v>
      </c>
      <c r="T1253" t="s">
        <v>2650</v>
      </c>
      <c r="U1253" t="s">
        <v>2650</v>
      </c>
      <c r="V1253" t="s">
        <v>2650</v>
      </c>
      <c r="W1253" t="s">
        <v>3902</v>
      </c>
      <c r="X1253">
        <v>2</v>
      </c>
      <c r="Y1253" t="s">
        <v>5211</v>
      </c>
      <c r="Z1253" t="s">
        <v>6533</v>
      </c>
      <c r="AA1253">
        <v>0.96322865382828127</v>
      </c>
      <c r="AB1253" t="str">
        <f>HYPERLINK("Melting_Curves/meltCurve_Q9UBC9_SPRR3.pdf", "Melting_Curves/meltCurve_Q9UBC9_SPRR3.pdf")</f>
        <v>Melting_Curves/meltCurve_Q9UBC9_SPRR3.pdf</v>
      </c>
    </row>
    <row r="1254" spans="1:28" x14ac:dyDescent="0.25">
      <c r="A1254" t="s">
        <v>1258</v>
      </c>
      <c r="B1254">
        <v>1</v>
      </c>
      <c r="C1254">
        <v>0.83110044865403798</v>
      </c>
      <c r="D1254">
        <v>1.1984878697241601</v>
      </c>
      <c r="E1254">
        <v>1.3359920239282199</v>
      </c>
      <c r="F1254">
        <v>1.20700398803589</v>
      </c>
      <c r="G1254">
        <v>1.07967763376537</v>
      </c>
      <c r="H1254">
        <v>0.92469466600199401</v>
      </c>
      <c r="I1254">
        <v>1.0684612828182101</v>
      </c>
      <c r="J1254">
        <v>0.65117148554337001</v>
      </c>
      <c r="K1254">
        <v>0.99113077434363595</v>
      </c>
      <c r="L1254">
        <v>8567.3081482052894</v>
      </c>
      <c r="M1254">
        <v>131.28759486117499</v>
      </c>
      <c r="O1254">
        <v>65.240899398273598</v>
      </c>
      <c r="P1254">
        <v>-8.8514797015724594E-2</v>
      </c>
      <c r="Q1254">
        <v>0.82405695391182099</v>
      </c>
      <c r="R1254">
        <v>0.14658426486465201</v>
      </c>
      <c r="S1254" t="s">
        <v>2580</v>
      </c>
      <c r="T1254" t="s">
        <v>2650</v>
      </c>
      <c r="U1254" t="s">
        <v>2650</v>
      </c>
      <c r="V1254" t="s">
        <v>2650</v>
      </c>
      <c r="W1254" t="s">
        <v>3903</v>
      </c>
      <c r="X1254">
        <v>3</v>
      </c>
      <c r="Y1254" t="s">
        <v>5212</v>
      </c>
      <c r="Z1254" t="s">
        <v>6534</v>
      </c>
      <c r="AA1254">
        <v>0.97225039606623198</v>
      </c>
      <c r="AB1254" t="str">
        <f>HYPERLINK("Melting_Curves/meltCurve_Q9UBP4_DKK3.pdf", "Melting_Curves/meltCurve_Q9UBP4_DKK3.pdf")</f>
        <v>Melting_Curves/meltCurve_Q9UBP4_DKK3.pdf</v>
      </c>
    </row>
    <row r="1255" spans="1:28" x14ac:dyDescent="0.25">
      <c r="A1255" t="s">
        <v>1259</v>
      </c>
      <c r="B1255">
        <v>1</v>
      </c>
      <c r="C1255">
        <v>0.73120080388544595</v>
      </c>
      <c r="D1255">
        <v>1.13576731982359</v>
      </c>
      <c r="E1255">
        <v>1.84977390721822</v>
      </c>
      <c r="F1255">
        <v>2.3144085301177899</v>
      </c>
      <c r="G1255">
        <v>2.64735108580361</v>
      </c>
      <c r="H1255">
        <v>2.39708591525708</v>
      </c>
      <c r="I1255">
        <v>2.8266063752581898</v>
      </c>
      <c r="J1255">
        <v>1.85535644503992</v>
      </c>
      <c r="K1255">
        <v>2.5768994584938301</v>
      </c>
      <c r="S1255" t="s">
        <v>2581</v>
      </c>
      <c r="T1255" t="s">
        <v>2650</v>
      </c>
      <c r="U1255" t="s">
        <v>2651</v>
      </c>
      <c r="V1255" t="s">
        <v>2650</v>
      </c>
      <c r="W1255" t="s">
        <v>3904</v>
      </c>
      <c r="X1255">
        <v>8</v>
      </c>
      <c r="Y1255" t="s">
        <v>5213</v>
      </c>
      <c r="Z1255" t="s">
        <v>6535</v>
      </c>
      <c r="AB1255" t="str">
        <f>HYPERLINK("Melting_Curves/meltCurve_Q9UBR2_CTSZ.pdf", "Melting_Curves/meltCurve_Q9UBR2_CTSZ.pdf")</f>
        <v>Melting_Curves/meltCurve_Q9UBR2_CTSZ.pdf</v>
      </c>
    </row>
    <row r="1256" spans="1:28" x14ac:dyDescent="0.25">
      <c r="A1256" t="s">
        <v>1260</v>
      </c>
      <c r="B1256">
        <v>1</v>
      </c>
      <c r="C1256">
        <v>0.69195076367854602</v>
      </c>
      <c r="D1256">
        <v>1.1145840046400699</v>
      </c>
      <c r="E1256">
        <v>1.2620996326609499</v>
      </c>
      <c r="F1256">
        <v>0.96539279499903297</v>
      </c>
      <c r="G1256">
        <v>0.93297673519365898</v>
      </c>
      <c r="H1256">
        <v>0.912676419410969</v>
      </c>
      <c r="I1256">
        <v>0.99593993684346205</v>
      </c>
      <c r="J1256">
        <v>0.55919958754914001</v>
      </c>
      <c r="K1256">
        <v>0.83315073790036698</v>
      </c>
      <c r="L1256">
        <v>15000</v>
      </c>
      <c r="M1256">
        <v>230.85015374827</v>
      </c>
      <c r="O1256">
        <v>64.972351615829595</v>
      </c>
      <c r="P1256">
        <v>-0.269887053745202</v>
      </c>
      <c r="Q1256">
        <v>0.69616320153511702</v>
      </c>
      <c r="R1256">
        <v>0.36515887247842799</v>
      </c>
      <c r="S1256" t="s">
        <v>2582</v>
      </c>
      <c r="T1256" t="s">
        <v>2650</v>
      </c>
      <c r="U1256" t="s">
        <v>2650</v>
      </c>
      <c r="V1256" t="s">
        <v>2650</v>
      </c>
      <c r="W1256" t="s">
        <v>3905</v>
      </c>
      <c r="X1256">
        <v>4</v>
      </c>
      <c r="Y1256" t="s">
        <v>5214</v>
      </c>
      <c r="Z1256" t="s">
        <v>6536</v>
      </c>
      <c r="AA1256">
        <v>0.94917040213551473</v>
      </c>
      <c r="AB1256" t="str">
        <f>HYPERLINK("Melting_Curves/meltCurve_Q9UBS3_DNAJB9.pdf", "Melting_Curves/meltCurve_Q9UBS3_DNAJB9.pdf")</f>
        <v>Melting_Curves/meltCurve_Q9UBS3_DNAJB9.pdf</v>
      </c>
    </row>
    <row r="1257" spans="1:28" x14ac:dyDescent="0.25">
      <c r="A1257" t="s">
        <v>1261</v>
      </c>
      <c r="B1257">
        <v>1</v>
      </c>
      <c r="C1257">
        <v>0.77831156007899105</v>
      </c>
      <c r="D1257">
        <v>1.13103828041926</v>
      </c>
      <c r="E1257">
        <v>1.2470947896096001</v>
      </c>
      <c r="F1257">
        <v>1.1178983746012501</v>
      </c>
      <c r="G1257">
        <v>1.21158666261583</v>
      </c>
      <c r="H1257">
        <v>1.6585523317636299</v>
      </c>
      <c r="I1257">
        <v>1.7841409691629999</v>
      </c>
      <c r="J1257">
        <v>1.4979872398602501</v>
      </c>
      <c r="K1257">
        <v>1.72626462099347</v>
      </c>
      <c r="L1257">
        <v>1332.7904212219601</v>
      </c>
      <c r="M1257">
        <v>24.4115624877996</v>
      </c>
      <c r="O1257">
        <v>54.234268891436201</v>
      </c>
      <c r="P1257">
        <v>5.6264988781011001E-2</v>
      </c>
      <c r="Q1257">
        <v>1.5</v>
      </c>
      <c r="R1257">
        <v>0.69480445910890998</v>
      </c>
      <c r="S1257" t="s">
        <v>2583</v>
      </c>
      <c r="T1257" t="s">
        <v>2650</v>
      </c>
      <c r="U1257" t="s">
        <v>2650</v>
      </c>
      <c r="V1257" t="s">
        <v>2650</v>
      </c>
      <c r="W1257" t="s">
        <v>3906</v>
      </c>
      <c r="X1257">
        <v>1</v>
      </c>
      <c r="Y1257" t="s">
        <v>5215</v>
      </c>
      <c r="Z1257" t="s">
        <v>6537</v>
      </c>
      <c r="AA1257">
        <v>1.2518926136618811</v>
      </c>
      <c r="AB1257" t="str">
        <f>HYPERLINK("Melting_Curves/meltCurve_Q9UBV8_PEF1.pdf", "Melting_Curves/meltCurve_Q9UBV8_PEF1.pdf")</f>
        <v>Melting_Curves/meltCurve_Q9UBV8_PEF1.pdf</v>
      </c>
    </row>
    <row r="1258" spans="1:28" x14ac:dyDescent="0.25">
      <c r="A1258" t="s">
        <v>1262</v>
      </c>
      <c r="B1258">
        <v>1</v>
      </c>
      <c r="C1258">
        <v>0.84594535993061604</v>
      </c>
      <c r="D1258">
        <v>1.4386925411968801</v>
      </c>
      <c r="E1258">
        <v>1.7275585429314799</v>
      </c>
      <c r="F1258">
        <v>1.55005059265684</v>
      </c>
      <c r="G1258">
        <v>2.2497470367158101</v>
      </c>
      <c r="H1258">
        <v>2.5016261925411998</v>
      </c>
      <c r="I1258">
        <v>3.7391587163920201</v>
      </c>
      <c r="J1258">
        <v>2.60118531367447</v>
      </c>
      <c r="K1258">
        <v>3.3607979184735499</v>
      </c>
      <c r="L1258">
        <v>11409.476878715301</v>
      </c>
      <c r="M1258">
        <v>250</v>
      </c>
      <c r="O1258">
        <v>45.634986932922303</v>
      </c>
      <c r="P1258">
        <v>0.684781613774883</v>
      </c>
      <c r="Q1258">
        <v>1.5</v>
      </c>
      <c r="R1258">
        <v>-0.35352991850715099</v>
      </c>
      <c r="S1258" t="s">
        <v>2584</v>
      </c>
      <c r="T1258" t="s">
        <v>2650</v>
      </c>
      <c r="U1258" t="s">
        <v>2650</v>
      </c>
      <c r="V1258" t="s">
        <v>2650</v>
      </c>
      <c r="W1258" t="s">
        <v>3907</v>
      </c>
      <c r="X1258">
        <v>1</v>
      </c>
      <c r="Y1258" t="s">
        <v>5216</v>
      </c>
      <c r="Z1258" t="s">
        <v>6538</v>
      </c>
      <c r="AA1258">
        <v>1.405994827843611</v>
      </c>
      <c r="AB1258" t="str">
        <f>HYPERLINK("Melting_Curves/meltCurve_Q9UBW8_COPS7A.pdf", "Melting_Curves/meltCurve_Q9UBW8_COPS7A.pdf")</f>
        <v>Melting_Curves/meltCurve_Q9UBW8_COPS7A.pdf</v>
      </c>
    </row>
    <row r="1259" spans="1:28" x14ac:dyDescent="0.25">
      <c r="A1259" t="s">
        <v>1263</v>
      </c>
      <c r="B1259">
        <v>1</v>
      </c>
      <c r="C1259">
        <v>0.86427802368704398</v>
      </c>
      <c r="D1259">
        <v>1.0636738844359399</v>
      </c>
      <c r="E1259">
        <v>1.2274793635602299</v>
      </c>
      <c r="F1259">
        <v>1.03221079076445</v>
      </c>
      <c r="G1259">
        <v>1.1552817322646201</v>
      </c>
      <c r="H1259">
        <v>1.1431989472424899</v>
      </c>
      <c r="I1259">
        <v>1.3542887905251799</v>
      </c>
      <c r="J1259">
        <v>1.0654085416915899</v>
      </c>
      <c r="K1259">
        <v>1.31992463213303</v>
      </c>
      <c r="L1259">
        <v>534.93618871063597</v>
      </c>
      <c r="M1259">
        <v>9.8826023185761294</v>
      </c>
      <c r="O1259">
        <v>52.052518739431399</v>
      </c>
      <c r="P1259">
        <v>1.2474201082065499E-2</v>
      </c>
      <c r="Q1259">
        <v>1.2626771130355401</v>
      </c>
      <c r="R1259">
        <v>0.46014905959055702</v>
      </c>
      <c r="S1259" t="s">
        <v>2585</v>
      </c>
      <c r="T1259" t="s">
        <v>2650</v>
      </c>
      <c r="U1259" t="s">
        <v>2650</v>
      </c>
      <c r="V1259" t="s">
        <v>2650</v>
      </c>
      <c r="W1259" t="s">
        <v>3908</v>
      </c>
      <c r="X1259">
        <v>7</v>
      </c>
      <c r="Y1259" t="s">
        <v>5217</v>
      </c>
      <c r="Z1259" t="s">
        <v>6539</v>
      </c>
      <c r="AA1259">
        <v>1.1311112315624721</v>
      </c>
      <c r="AB1259" t="str">
        <f>HYPERLINK("Melting_Curves/meltCurve_Q9UBX1_CTSF.pdf", "Melting_Curves/meltCurve_Q9UBX1_CTSF.pdf")</f>
        <v>Melting_Curves/meltCurve_Q9UBX1_CTSF.pdf</v>
      </c>
    </row>
    <row r="1260" spans="1:28" x14ac:dyDescent="0.25">
      <c r="A1260" t="s">
        <v>1264</v>
      </c>
      <c r="B1260">
        <v>1</v>
      </c>
      <c r="C1260">
        <v>0.78391000996725002</v>
      </c>
      <c r="D1260">
        <v>1.16420333190944</v>
      </c>
      <c r="E1260">
        <v>1.4349138544781399</v>
      </c>
      <c r="F1260">
        <v>1.2871707247615001</v>
      </c>
      <c r="G1260">
        <v>1.7585077602164301</v>
      </c>
      <c r="H1260">
        <v>1.9065071906592601</v>
      </c>
      <c r="I1260">
        <v>2.4535098960558201</v>
      </c>
      <c r="J1260">
        <v>1.72396411789833</v>
      </c>
      <c r="K1260">
        <v>2.2529688167449802</v>
      </c>
      <c r="L1260">
        <v>1682.6996337651401</v>
      </c>
      <c r="M1260">
        <v>35.439858345216898</v>
      </c>
      <c r="O1260">
        <v>47.330006452889599</v>
      </c>
      <c r="P1260">
        <v>9.3598056959444301E-2</v>
      </c>
      <c r="Q1260">
        <v>1.5</v>
      </c>
      <c r="R1260">
        <v>0.29399849740134898</v>
      </c>
      <c r="S1260" t="s">
        <v>2586</v>
      </c>
      <c r="T1260" t="s">
        <v>2650</v>
      </c>
      <c r="U1260" t="s">
        <v>2650</v>
      </c>
      <c r="V1260" t="s">
        <v>2650</v>
      </c>
      <c r="W1260" t="s">
        <v>3909</v>
      </c>
      <c r="X1260">
        <v>4</v>
      </c>
      <c r="Y1260" t="s">
        <v>5218</v>
      </c>
      <c r="Z1260" t="s">
        <v>6540</v>
      </c>
      <c r="AA1260">
        <v>1.373210572928782</v>
      </c>
      <c r="AB1260" t="str">
        <f>HYPERLINK("Melting_Curves/meltCurve_Q9UBX5_FBLN5.pdf", "Melting_Curves/meltCurve_Q9UBX5_FBLN5.pdf")</f>
        <v>Melting_Curves/meltCurve_Q9UBX5_FBLN5.pdf</v>
      </c>
    </row>
    <row r="1261" spans="1:28" x14ac:dyDescent="0.25">
      <c r="A1261" t="s">
        <v>1265</v>
      </c>
      <c r="B1261">
        <v>1</v>
      </c>
      <c r="C1261">
        <v>0.84064444089966495</v>
      </c>
      <c r="D1261">
        <v>1.7354708353272701</v>
      </c>
      <c r="E1261">
        <v>2.99984048492583</v>
      </c>
      <c r="F1261">
        <v>2.6197692348593602</v>
      </c>
      <c r="G1261">
        <v>2.7726378476099298</v>
      </c>
      <c r="H1261">
        <v>2.5829744244164399</v>
      </c>
      <c r="I1261">
        <v>3.2570851278779198</v>
      </c>
      <c r="J1261">
        <v>2.0213750199393798</v>
      </c>
      <c r="K1261">
        <v>2.9199234327644001</v>
      </c>
      <c r="L1261">
        <v>11091.8705496072</v>
      </c>
      <c r="M1261">
        <v>250</v>
      </c>
      <c r="O1261">
        <v>44.364626373814097</v>
      </c>
      <c r="P1261">
        <v>0.70438975439534102</v>
      </c>
      <c r="Q1261">
        <v>1.5</v>
      </c>
      <c r="R1261">
        <v>-0.83466599981521195</v>
      </c>
      <c r="S1261" t="s">
        <v>2587</v>
      </c>
      <c r="T1261" t="s">
        <v>2650</v>
      </c>
      <c r="U1261" t="s">
        <v>2650</v>
      </c>
      <c r="V1261" t="s">
        <v>2650</v>
      </c>
      <c r="W1261" t="s">
        <v>3910</v>
      </c>
      <c r="X1261">
        <v>8</v>
      </c>
      <c r="Y1261" t="s">
        <v>5219</v>
      </c>
      <c r="Z1261" t="s">
        <v>6541</v>
      </c>
      <c r="AA1261">
        <v>1.427169697905879</v>
      </c>
      <c r="AB1261" t="str">
        <f>HYPERLINK("Melting_Curves/meltCurve_Q9UBX7_1_KLK11.pdf", "Melting_Curves/meltCurve_Q9UBX7_1_KLK11.pdf")</f>
        <v>Melting_Curves/meltCurve_Q9UBX7_1_KLK11.pdf</v>
      </c>
    </row>
    <row r="1262" spans="1:28" x14ac:dyDescent="0.25">
      <c r="A1262" t="s">
        <v>1266</v>
      </c>
      <c r="B1262">
        <v>1</v>
      </c>
      <c r="C1262">
        <v>0.77830275229357804</v>
      </c>
      <c r="D1262">
        <v>1.0984862385321099</v>
      </c>
      <c r="E1262">
        <v>1.19353211009174</v>
      </c>
      <c r="F1262">
        <v>0.89435779816513805</v>
      </c>
      <c r="G1262">
        <v>0.85821100917431203</v>
      </c>
      <c r="H1262">
        <v>0.79674311926605501</v>
      </c>
      <c r="I1262">
        <v>0.95376146788990801</v>
      </c>
      <c r="J1262">
        <v>0.58564220183486204</v>
      </c>
      <c r="K1262">
        <v>0.72389908256880697</v>
      </c>
      <c r="L1262">
        <v>796.45394126383496</v>
      </c>
      <c r="M1262">
        <v>12.5986436869808</v>
      </c>
      <c r="O1262">
        <v>61.688135364005703</v>
      </c>
      <c r="P1262">
        <v>-2.07949188505509E-2</v>
      </c>
      <c r="Q1262">
        <v>0.59279933067870505</v>
      </c>
      <c r="R1262">
        <v>0.44091087607815399</v>
      </c>
      <c r="S1262" t="s">
        <v>2588</v>
      </c>
      <c r="T1262" t="s">
        <v>2650</v>
      </c>
      <c r="U1262" t="s">
        <v>2650</v>
      </c>
      <c r="V1262" t="s">
        <v>2650</v>
      </c>
      <c r="W1262" t="s">
        <v>3911</v>
      </c>
      <c r="X1262">
        <v>2</v>
      </c>
      <c r="Y1262" t="s">
        <v>5220</v>
      </c>
      <c r="Z1262" t="s">
        <v>6542</v>
      </c>
      <c r="AA1262">
        <v>0.90022375264324039</v>
      </c>
      <c r="AB1262" t="str">
        <f>HYPERLINK("Melting_Curves/meltCurve_Q9UD71_PPP1R1B.pdf", "Melting_Curves/meltCurve_Q9UD71_PPP1R1B.pdf")</f>
        <v>Melting_Curves/meltCurve_Q9UD71_PPP1R1B.pdf</v>
      </c>
    </row>
    <row r="1263" spans="1:28" x14ac:dyDescent="0.25">
      <c r="A1263" t="s">
        <v>1267</v>
      </c>
      <c r="B1263">
        <v>1</v>
      </c>
      <c r="C1263">
        <v>0.82699898955877404</v>
      </c>
      <c r="D1263">
        <v>1.14972044459414</v>
      </c>
      <c r="E1263">
        <v>1.30771303469182</v>
      </c>
      <c r="F1263">
        <v>0.97713708319299397</v>
      </c>
      <c r="G1263">
        <v>0.99322330751094601</v>
      </c>
      <c r="H1263">
        <v>0.98306500505220595</v>
      </c>
      <c r="I1263">
        <v>1.07017851128326</v>
      </c>
      <c r="J1263">
        <v>0.59872010778039697</v>
      </c>
      <c r="K1263">
        <v>0.81011788480970004</v>
      </c>
      <c r="L1263">
        <v>15000</v>
      </c>
      <c r="M1263">
        <v>229.32540926427299</v>
      </c>
      <c r="O1263">
        <v>65.4042739400698</v>
      </c>
      <c r="P1263">
        <v>-0.25925212046770402</v>
      </c>
      <c r="Q1263">
        <v>0.70424221637089401</v>
      </c>
      <c r="R1263">
        <v>0.486086022493604</v>
      </c>
      <c r="S1263" t="s">
        <v>2589</v>
      </c>
      <c r="T1263" t="s">
        <v>2650</v>
      </c>
      <c r="U1263" t="s">
        <v>2650</v>
      </c>
      <c r="V1263" t="s">
        <v>2650</v>
      </c>
      <c r="W1263" t="s">
        <v>3912</v>
      </c>
      <c r="X1263">
        <v>2</v>
      </c>
      <c r="Y1263" t="s">
        <v>5221</v>
      </c>
      <c r="Z1263" t="s">
        <v>6543</v>
      </c>
      <c r="AA1263">
        <v>0.9547818840068617</v>
      </c>
      <c r="AB1263" t="str">
        <f>HYPERLINK("Melting_Curves/meltCurve_Q9UDY2_6_TJP2.pdf", "Melting_Curves/meltCurve_Q9UDY2_6_TJP2.pdf")</f>
        <v>Melting_Curves/meltCurve_Q9UDY2_6_TJP2.pdf</v>
      </c>
    </row>
    <row r="1264" spans="1:28" x14ac:dyDescent="0.25">
      <c r="A1264" t="s">
        <v>1268</v>
      </c>
      <c r="B1264">
        <v>1</v>
      </c>
      <c r="C1264">
        <v>1.3522799744898</v>
      </c>
      <c r="D1264">
        <v>2.25984534438776</v>
      </c>
      <c r="E1264">
        <v>2.4828603316326499</v>
      </c>
      <c r="F1264">
        <v>1.6481983418367301</v>
      </c>
      <c r="G1264">
        <v>1.7692721619898</v>
      </c>
      <c r="H1264">
        <v>1.24519690688776</v>
      </c>
      <c r="I1264">
        <v>1.39538823341837</v>
      </c>
      <c r="J1264">
        <v>0.77840003188775497</v>
      </c>
      <c r="K1264">
        <v>1.22419084821429</v>
      </c>
      <c r="L1264">
        <v>10687.715259098401</v>
      </c>
      <c r="M1264">
        <v>250</v>
      </c>
      <c r="O1264">
        <v>42.748125294426899</v>
      </c>
      <c r="P1264">
        <v>0.73102621092781905</v>
      </c>
      <c r="Q1264">
        <v>1.5</v>
      </c>
      <c r="R1264">
        <v>0.10442252214473299</v>
      </c>
      <c r="S1264" t="s">
        <v>2590</v>
      </c>
      <c r="T1264" t="s">
        <v>2650</v>
      </c>
      <c r="U1264" t="s">
        <v>2650</v>
      </c>
      <c r="V1264" t="s">
        <v>2650</v>
      </c>
      <c r="W1264" t="s">
        <v>3913</v>
      </c>
      <c r="X1264">
        <v>1</v>
      </c>
      <c r="Y1264" t="s">
        <v>5222</v>
      </c>
      <c r="Z1264" t="s">
        <v>6544</v>
      </c>
      <c r="AA1264">
        <v>1.454114802427678</v>
      </c>
      <c r="AB1264" t="str">
        <f>HYPERLINK("Melting_Curves/meltCurve_Q9UFH2_4_DNAH17.pdf", "Melting_Curves/meltCurve_Q9UFH2_4_DNAH17.pdf")</f>
        <v>Melting_Curves/meltCurve_Q9UFH2_4_DNAH17.pdf</v>
      </c>
    </row>
    <row r="1265" spans="1:28" x14ac:dyDescent="0.25">
      <c r="A1265" t="s">
        <v>1269</v>
      </c>
      <c r="B1265">
        <v>1</v>
      </c>
      <c r="C1265">
        <v>0.77571792075608903</v>
      </c>
      <c r="D1265">
        <v>1.14983642311887</v>
      </c>
      <c r="E1265">
        <v>1.3141403126136</v>
      </c>
      <c r="F1265">
        <v>1.1278080697927999</v>
      </c>
      <c r="G1265">
        <v>1.0753907669938201</v>
      </c>
      <c r="H1265">
        <v>0.88673209741911996</v>
      </c>
      <c r="I1265">
        <v>1.0825154489276601</v>
      </c>
      <c r="J1265">
        <v>0.79731006906579405</v>
      </c>
      <c r="K1265">
        <v>1.1067975281715701</v>
      </c>
      <c r="L1265">
        <v>15000</v>
      </c>
      <c r="M1265">
        <v>212.982058741717</v>
      </c>
      <c r="Q1265">
        <v>1.5</v>
      </c>
      <c r="R1265">
        <v>5.4802118218828504E-3</v>
      </c>
      <c r="S1265" t="s">
        <v>2591</v>
      </c>
      <c r="T1265" t="s">
        <v>2650</v>
      </c>
      <c r="U1265" t="s">
        <v>2650</v>
      </c>
      <c r="V1265" t="s">
        <v>2650</v>
      </c>
      <c r="W1265" t="s">
        <v>3914</v>
      </c>
      <c r="X1265">
        <v>1</v>
      </c>
      <c r="Y1265" t="s">
        <v>5223</v>
      </c>
      <c r="Z1265" t="s">
        <v>6545</v>
      </c>
      <c r="AA1265">
        <v>1.0012951247331761</v>
      </c>
      <c r="AB1265" t="str">
        <f>HYPERLINK("Melting_Curves/meltCurve_Q9UGM3_9_DMBT1.pdf", "Melting_Curves/meltCurve_Q9UGM3_9_DMBT1.pdf")</f>
        <v>Melting_Curves/meltCurve_Q9UGM3_9_DMBT1.pdf</v>
      </c>
    </row>
    <row r="1266" spans="1:28" x14ac:dyDescent="0.25">
      <c r="A1266" t="s">
        <v>1270</v>
      </c>
      <c r="B1266">
        <v>1</v>
      </c>
      <c r="C1266">
        <v>0.98501440922190198</v>
      </c>
      <c r="D1266">
        <v>1.2739673390970201</v>
      </c>
      <c r="E1266">
        <v>1.52881844380403</v>
      </c>
      <c r="F1266">
        <v>1.4551392891450501</v>
      </c>
      <c r="G1266">
        <v>1.79164265129683</v>
      </c>
      <c r="H1266">
        <v>1.66080691642651</v>
      </c>
      <c r="I1266">
        <v>2.1669548511047099</v>
      </c>
      <c r="J1266">
        <v>1.56791546589817</v>
      </c>
      <c r="K1266">
        <v>1.72459173871278</v>
      </c>
      <c r="L1266">
        <v>11491.152848296801</v>
      </c>
      <c r="M1266">
        <v>250</v>
      </c>
      <c r="O1266">
        <v>45.961670103721197</v>
      </c>
      <c r="P1266">
        <v>0.67991437347308104</v>
      </c>
      <c r="Q1266">
        <v>1.5</v>
      </c>
      <c r="R1266">
        <v>0.47869032485277002</v>
      </c>
      <c r="S1266" t="s">
        <v>2592</v>
      </c>
      <c r="T1266" t="s">
        <v>2650</v>
      </c>
      <c r="U1266" t="s">
        <v>2650</v>
      </c>
      <c r="V1266" t="s">
        <v>2650</v>
      </c>
      <c r="W1266" t="s">
        <v>3915</v>
      </c>
      <c r="X1266">
        <v>1</v>
      </c>
      <c r="Y1266" t="s">
        <v>5224</v>
      </c>
      <c r="Z1266" t="s">
        <v>6546</v>
      </c>
      <c r="AA1266">
        <v>1.4005494765247331</v>
      </c>
      <c r="AB1266" t="str">
        <f>HYPERLINK("Melting_Curves/meltCurve_Q9UGM5_2_FETUB.pdf", "Melting_Curves/meltCurve_Q9UGM5_2_FETUB.pdf")</f>
        <v>Melting_Curves/meltCurve_Q9UGM5_2_FETUB.pdf</v>
      </c>
    </row>
    <row r="1267" spans="1:28" x14ac:dyDescent="0.25">
      <c r="A1267" t="s">
        <v>1271</v>
      </c>
      <c r="B1267">
        <v>1</v>
      </c>
      <c r="C1267">
        <v>0.81613996374812803</v>
      </c>
      <c r="D1267">
        <v>1.2968319016470999</v>
      </c>
      <c r="E1267">
        <v>1.7391835448025801</v>
      </c>
      <c r="F1267">
        <v>1.3569627236188799</v>
      </c>
      <c r="G1267">
        <v>1.4355347151075699</v>
      </c>
      <c r="H1267">
        <v>1.86393726850028</v>
      </c>
      <c r="I1267">
        <v>2.4246197493892301</v>
      </c>
      <c r="J1267">
        <v>1.57774450311293</v>
      </c>
      <c r="K1267">
        <v>2.2435180077232202</v>
      </c>
      <c r="L1267">
        <v>11482.5599211138</v>
      </c>
      <c r="M1267">
        <v>250</v>
      </c>
      <c r="O1267">
        <v>45.927301157448099</v>
      </c>
      <c r="P1267">
        <v>0.68042318463672102</v>
      </c>
      <c r="Q1267">
        <v>1.5</v>
      </c>
      <c r="R1267">
        <v>0.28677766568901703</v>
      </c>
      <c r="S1267" t="s">
        <v>2593</v>
      </c>
      <c r="T1267" t="s">
        <v>2650</v>
      </c>
      <c r="U1267" t="s">
        <v>2650</v>
      </c>
      <c r="V1267" t="s">
        <v>2650</v>
      </c>
      <c r="W1267" t="s">
        <v>3916</v>
      </c>
      <c r="X1267">
        <v>1</v>
      </c>
      <c r="Y1267" t="s">
        <v>5225</v>
      </c>
      <c r="Z1267" t="s">
        <v>6547</v>
      </c>
      <c r="AA1267">
        <v>1.40112236849784</v>
      </c>
      <c r="AB1267" t="str">
        <f>HYPERLINK("Melting_Curves/meltCurve_Q9UGV2_3_NDRG3.pdf", "Melting_Curves/meltCurve_Q9UGV2_3_NDRG3.pdf")</f>
        <v>Melting_Curves/meltCurve_Q9UGV2_3_NDRG3.pdf</v>
      </c>
    </row>
    <row r="1268" spans="1:28" x14ac:dyDescent="0.25">
      <c r="A1268" t="s">
        <v>1272</v>
      </c>
      <c r="B1268">
        <v>1</v>
      </c>
      <c r="C1268">
        <v>0.81256382355403001</v>
      </c>
      <c r="D1268">
        <v>1.2829999162969801</v>
      </c>
      <c r="E1268">
        <v>1.63773332217293</v>
      </c>
      <c r="F1268">
        <v>1.2619067548338501</v>
      </c>
      <c r="G1268">
        <v>1.48966267682263</v>
      </c>
      <c r="H1268">
        <v>1.3491253034234501</v>
      </c>
      <c r="I1268">
        <v>1.5816522976479499</v>
      </c>
      <c r="J1268">
        <v>1.11224575207165</v>
      </c>
      <c r="K1268">
        <v>1.4520800200887301</v>
      </c>
      <c r="L1268">
        <v>11463.8815571658</v>
      </c>
      <c r="M1268">
        <v>250</v>
      </c>
      <c r="O1268">
        <v>45.852593563164803</v>
      </c>
      <c r="P1268">
        <v>0.56166129994830805</v>
      </c>
      <c r="Q1268">
        <v>1.41205802040138</v>
      </c>
      <c r="R1268">
        <v>0.61443045212505898</v>
      </c>
      <c r="S1268" t="s">
        <v>2594</v>
      </c>
      <c r="T1268" t="s">
        <v>2650</v>
      </c>
      <c r="U1268" t="s">
        <v>2650</v>
      </c>
      <c r="V1268" t="s">
        <v>2650</v>
      </c>
      <c r="W1268" t="s">
        <v>3917</v>
      </c>
      <c r="X1268">
        <v>7</v>
      </c>
      <c r="Y1268" t="s">
        <v>5226</v>
      </c>
      <c r="Z1268" t="s">
        <v>6548</v>
      </c>
      <c r="AA1268">
        <v>1.3315976415230051</v>
      </c>
      <c r="AB1268" t="str">
        <f>HYPERLINK("Melting_Curves/meltCurve_Q9UHC6_CNTNAP2.pdf", "Melting_Curves/meltCurve_Q9UHC6_CNTNAP2.pdf")</f>
        <v>Melting_Curves/meltCurve_Q9UHC6_CNTNAP2.pdf</v>
      </c>
    </row>
    <row r="1269" spans="1:28" x14ac:dyDescent="0.25">
      <c r="A1269" t="s">
        <v>1273</v>
      </c>
      <c r="B1269">
        <v>1</v>
      </c>
      <c r="C1269">
        <v>0.71854918807663304</v>
      </c>
      <c r="D1269">
        <v>1.0726602606291999</v>
      </c>
      <c r="E1269">
        <v>1.21124367274163</v>
      </c>
      <c r="F1269">
        <v>0.99408857563392194</v>
      </c>
      <c r="G1269">
        <v>1.00507377314012</v>
      </c>
      <c r="H1269">
        <v>0.91719219309057398</v>
      </c>
      <c r="I1269">
        <v>1.0279895173932301</v>
      </c>
      <c r="J1269">
        <v>0.64988572043988702</v>
      </c>
      <c r="K1269">
        <v>0.85545729773714496</v>
      </c>
      <c r="L1269">
        <v>15000</v>
      </c>
      <c r="M1269">
        <v>229.747122124584</v>
      </c>
      <c r="O1269">
        <v>65.284224842012705</v>
      </c>
      <c r="P1269">
        <v>-0.21764805025653</v>
      </c>
      <c r="Q1269">
        <v>0.75261522827260496</v>
      </c>
      <c r="R1269">
        <v>0.36776836822423198</v>
      </c>
      <c r="S1269" t="s">
        <v>2595</v>
      </c>
      <c r="T1269" t="s">
        <v>2650</v>
      </c>
      <c r="U1269" t="s">
        <v>2650</v>
      </c>
      <c r="V1269" t="s">
        <v>2650</v>
      </c>
      <c r="W1269" t="s">
        <v>3918</v>
      </c>
      <c r="X1269">
        <v>5</v>
      </c>
      <c r="Y1269" t="s">
        <v>5227</v>
      </c>
      <c r="Z1269" t="s">
        <v>6549</v>
      </c>
      <c r="AA1269">
        <v>0.96118734987194254</v>
      </c>
      <c r="AB1269" t="str">
        <f>HYPERLINK("Melting_Curves/meltCurve_Q9UHG2_PCSK1N.pdf", "Melting_Curves/meltCurve_Q9UHG2_PCSK1N.pdf")</f>
        <v>Melting_Curves/meltCurve_Q9UHG2_PCSK1N.pdf</v>
      </c>
    </row>
    <row r="1270" spans="1:28" x14ac:dyDescent="0.25">
      <c r="A1270" t="s">
        <v>1274</v>
      </c>
      <c r="B1270">
        <v>1</v>
      </c>
      <c r="C1270">
        <v>0.723419419755157</v>
      </c>
      <c r="D1270">
        <v>1.13235787355358</v>
      </c>
      <c r="E1270">
        <v>1.32487841690424</v>
      </c>
      <c r="F1270">
        <v>0.99681368438705398</v>
      </c>
      <c r="G1270">
        <v>1.0342528928391701</v>
      </c>
      <c r="H1270">
        <v>0.95920677511319796</v>
      </c>
      <c r="I1270">
        <v>1.12883615629717</v>
      </c>
      <c r="J1270">
        <v>0.75088042931410404</v>
      </c>
      <c r="K1270">
        <v>1.0568505785678399</v>
      </c>
      <c r="L1270">
        <v>1734.6575364380601</v>
      </c>
      <c r="M1270">
        <v>26.707942136901</v>
      </c>
      <c r="O1270">
        <v>64.588276579619901</v>
      </c>
      <c r="P1270">
        <v>-5.5960892784728102E-3</v>
      </c>
      <c r="Q1270">
        <v>0.94586807670579998</v>
      </c>
      <c r="R1270">
        <v>1.04268893098404E-2</v>
      </c>
      <c r="S1270" t="s">
        <v>2596</v>
      </c>
      <c r="T1270" t="s">
        <v>2650</v>
      </c>
      <c r="U1270" t="s">
        <v>2650</v>
      </c>
      <c r="V1270" t="s">
        <v>2650</v>
      </c>
      <c r="W1270" t="s">
        <v>3919</v>
      </c>
      <c r="X1270">
        <v>5</v>
      </c>
      <c r="Y1270" t="s">
        <v>5228</v>
      </c>
      <c r="Z1270" t="s">
        <v>6550</v>
      </c>
      <c r="AA1270">
        <v>0.9906785866004415</v>
      </c>
      <c r="AB1270" t="str">
        <f>HYPERLINK("Melting_Curves/meltCurve_Q9UHI8_ADAMTS1.pdf", "Melting_Curves/meltCurve_Q9UHI8_ADAMTS1.pdf")</f>
        <v>Melting_Curves/meltCurve_Q9UHI8_ADAMTS1.pdf</v>
      </c>
    </row>
    <row r="1271" spans="1:28" x14ac:dyDescent="0.25">
      <c r="A1271" t="s">
        <v>1275</v>
      </c>
      <c r="B1271">
        <v>1</v>
      </c>
      <c r="C1271">
        <v>0.87948231061363202</v>
      </c>
      <c r="D1271">
        <v>1.56086348191085</v>
      </c>
      <c r="E1271">
        <v>2.2388566859884098</v>
      </c>
      <c r="F1271">
        <v>1.88906656006396</v>
      </c>
      <c r="G1271">
        <v>2.1983809714171501</v>
      </c>
      <c r="H1271">
        <v>1.7989206476114299</v>
      </c>
      <c r="I1271">
        <v>2.33909654207475</v>
      </c>
      <c r="J1271">
        <v>1.6115330801519101</v>
      </c>
      <c r="K1271">
        <v>2.21137317609434</v>
      </c>
      <c r="L1271">
        <v>11115.6667726165</v>
      </c>
      <c r="M1271">
        <v>250</v>
      </c>
      <c r="O1271">
        <v>44.459821768932002</v>
      </c>
      <c r="P1271">
        <v>0.70288181079532797</v>
      </c>
      <c r="Q1271">
        <v>1.5</v>
      </c>
      <c r="R1271">
        <v>-5.1626173757612699E-2</v>
      </c>
      <c r="S1271" t="s">
        <v>2597</v>
      </c>
      <c r="T1271" t="s">
        <v>2650</v>
      </c>
      <c r="U1271" t="s">
        <v>2650</v>
      </c>
      <c r="V1271" t="s">
        <v>2650</v>
      </c>
      <c r="W1271" t="s">
        <v>3920</v>
      </c>
      <c r="X1271">
        <v>9</v>
      </c>
      <c r="Y1271" t="s">
        <v>5229</v>
      </c>
      <c r="Z1271" t="s">
        <v>6551</v>
      </c>
      <c r="AA1271">
        <v>1.4255831995145221</v>
      </c>
      <c r="AB1271" t="str">
        <f>HYPERLINK("Melting_Curves/meltCurve_Q9UHL4_DPP7.pdf", "Melting_Curves/meltCurve_Q9UHL4_DPP7.pdf")</f>
        <v>Melting_Curves/meltCurve_Q9UHL4_DPP7.pdf</v>
      </c>
    </row>
    <row r="1272" spans="1:28" x14ac:dyDescent="0.25">
      <c r="A1272" t="s">
        <v>1276</v>
      </c>
      <c r="B1272">
        <v>1</v>
      </c>
      <c r="C1272">
        <v>0.84243479898314699</v>
      </c>
      <c r="D1272">
        <v>1.3120233499670499</v>
      </c>
      <c r="E1272">
        <v>1.50141229639394</v>
      </c>
      <c r="F1272">
        <v>0.75845024009038697</v>
      </c>
      <c r="G1272">
        <v>1.2464927972883899</v>
      </c>
      <c r="H1272">
        <v>1.1969682704076801</v>
      </c>
      <c r="I1272">
        <v>1.23302890499953</v>
      </c>
      <c r="J1272">
        <v>0.74785801713586297</v>
      </c>
      <c r="K1272">
        <v>1.21471612842482</v>
      </c>
      <c r="L1272">
        <v>11099.671315813401</v>
      </c>
      <c r="M1272">
        <v>250</v>
      </c>
      <c r="O1272">
        <v>44.395844078819103</v>
      </c>
      <c r="P1272">
        <v>0.21309058904651099</v>
      </c>
      <c r="Q1272">
        <v>1.1513653847522201</v>
      </c>
      <c r="R1272">
        <v>0.12372928545489099</v>
      </c>
      <c r="S1272" t="s">
        <v>2598</v>
      </c>
      <c r="T1272" t="s">
        <v>2650</v>
      </c>
      <c r="U1272" t="s">
        <v>2650</v>
      </c>
      <c r="V1272" t="s">
        <v>2650</v>
      </c>
      <c r="W1272" t="s">
        <v>3921</v>
      </c>
      <c r="X1272">
        <v>1</v>
      </c>
      <c r="Y1272" t="s">
        <v>5230</v>
      </c>
      <c r="Z1272" t="s">
        <v>6552</v>
      </c>
      <c r="AA1272">
        <v>1.1291599676033459</v>
      </c>
      <c r="AB1272" t="str">
        <f>HYPERLINK("Melting_Curves/meltCurve_Q9UHQ7_TCEAL9.pdf", "Melting_Curves/meltCurve_Q9UHQ7_TCEAL9.pdf")</f>
        <v>Melting_Curves/meltCurve_Q9UHQ7_TCEAL9.pdf</v>
      </c>
    </row>
    <row r="1273" spans="1:28" x14ac:dyDescent="0.25">
      <c r="A1273" t="s">
        <v>1277</v>
      </c>
      <c r="B1273">
        <v>1</v>
      </c>
      <c r="C1273">
        <v>0.79078455790784596</v>
      </c>
      <c r="D1273">
        <v>1.14701018720781</v>
      </c>
      <c r="E1273">
        <v>1.2038258171202301</v>
      </c>
      <c r="F1273">
        <v>0.89594349059877898</v>
      </c>
      <c r="G1273">
        <v>0.90766184186350396</v>
      </c>
      <c r="H1273">
        <v>0.71594226568401298</v>
      </c>
      <c r="I1273">
        <v>0.82103995263662899</v>
      </c>
      <c r="J1273">
        <v>0.58040544678766104</v>
      </c>
      <c r="K1273">
        <v>0.77867831696711098</v>
      </c>
      <c r="L1273">
        <v>1761.77045826678</v>
      </c>
      <c r="M1273">
        <v>30.514137855122101</v>
      </c>
      <c r="O1273">
        <v>57.489935437019597</v>
      </c>
      <c r="P1273">
        <v>-3.8505846550534698E-2</v>
      </c>
      <c r="Q1273">
        <v>0.709815157329725</v>
      </c>
      <c r="R1273">
        <v>0.54628020680501199</v>
      </c>
      <c r="S1273" t="s">
        <v>2599</v>
      </c>
      <c r="T1273" t="s">
        <v>2650</v>
      </c>
      <c r="U1273" t="s">
        <v>2650</v>
      </c>
      <c r="V1273" t="s">
        <v>2650</v>
      </c>
      <c r="W1273" t="s">
        <v>3922</v>
      </c>
      <c r="X1273">
        <v>3</v>
      </c>
      <c r="Y1273" t="s">
        <v>5231</v>
      </c>
      <c r="Z1273" t="s">
        <v>6553</v>
      </c>
      <c r="AA1273">
        <v>0.88323838691887391</v>
      </c>
      <c r="AB1273" t="str">
        <f>HYPERLINK("Melting_Curves/meltCurve_Q9UHV9_PFDN2.pdf", "Melting_Curves/meltCurve_Q9UHV9_PFDN2.pdf")</f>
        <v>Melting_Curves/meltCurve_Q9UHV9_PFDN2.pdf</v>
      </c>
    </row>
    <row r="1274" spans="1:28" x14ac:dyDescent="0.25">
      <c r="A1274" t="s">
        <v>1278</v>
      </c>
      <c r="B1274">
        <v>1</v>
      </c>
      <c r="C1274">
        <v>0.87950353608604703</v>
      </c>
      <c r="D1274">
        <v>1.15990039917342</v>
      </c>
      <c r="E1274">
        <v>1.37323356137131</v>
      </c>
      <c r="F1274">
        <v>1.3510287379189101</v>
      </c>
      <c r="G1274">
        <v>1.1387095532081499</v>
      </c>
      <c r="H1274">
        <v>1.2281706049209999</v>
      </c>
      <c r="I1274">
        <v>1.8174583819999699</v>
      </c>
      <c r="J1274">
        <v>1.45319659611608</v>
      </c>
      <c r="K1274">
        <v>1.8735480227439001</v>
      </c>
      <c r="L1274">
        <v>666.96844237970299</v>
      </c>
      <c r="M1274">
        <v>13.253527331161299</v>
      </c>
      <c r="O1274">
        <v>49.219566480451803</v>
      </c>
      <c r="P1274">
        <v>3.3664716195494201E-2</v>
      </c>
      <c r="Q1274">
        <v>1.5</v>
      </c>
      <c r="R1274">
        <v>0.52708168831617996</v>
      </c>
      <c r="S1274" t="s">
        <v>2600</v>
      </c>
      <c r="T1274" t="s">
        <v>2650</v>
      </c>
      <c r="U1274" t="s">
        <v>2650</v>
      </c>
      <c r="V1274" t="s">
        <v>2650</v>
      </c>
      <c r="W1274" t="s">
        <v>3923</v>
      </c>
      <c r="X1274">
        <v>1</v>
      </c>
      <c r="Y1274" t="s">
        <v>5232</v>
      </c>
      <c r="Z1274" t="s">
        <v>6554</v>
      </c>
      <c r="AA1274">
        <v>1.31340977513529</v>
      </c>
      <c r="AB1274" t="str">
        <f>HYPERLINK("Melting_Curves/meltCurve_Q9UHY7_ENOPH1.pdf", "Melting_Curves/meltCurve_Q9UHY7_ENOPH1.pdf")</f>
        <v>Melting_Curves/meltCurve_Q9UHY7_ENOPH1.pdf</v>
      </c>
    </row>
    <row r="1275" spans="1:28" x14ac:dyDescent="0.25">
      <c r="A1275" t="s">
        <v>1279</v>
      </c>
      <c r="B1275">
        <v>1</v>
      </c>
      <c r="C1275">
        <v>0.696220298766835</v>
      </c>
      <c r="D1275">
        <v>1.11631520903653</v>
      </c>
      <c r="E1275">
        <v>1.20945426594927</v>
      </c>
      <c r="F1275">
        <v>1.0257494235203699</v>
      </c>
      <c r="G1275">
        <v>0.97079169869331305</v>
      </c>
      <c r="H1275">
        <v>0.99542158206062203</v>
      </c>
      <c r="I1275">
        <v>1.0827791331083101</v>
      </c>
      <c r="J1275">
        <v>0.767486548808609</v>
      </c>
      <c r="K1275">
        <v>1.14597466831534</v>
      </c>
      <c r="L1275">
        <v>15000</v>
      </c>
      <c r="M1275">
        <v>213.39947348184799</v>
      </c>
      <c r="Q1275">
        <v>1.5</v>
      </c>
      <c r="R1275">
        <v>9.12112724546741E-2</v>
      </c>
      <c r="S1275" t="s">
        <v>2601</v>
      </c>
      <c r="T1275" t="s">
        <v>2650</v>
      </c>
      <c r="U1275" t="s">
        <v>2650</v>
      </c>
      <c r="V1275" t="s">
        <v>2650</v>
      </c>
      <c r="W1275" t="s">
        <v>3924</v>
      </c>
      <c r="X1275">
        <v>1</v>
      </c>
      <c r="Y1275" t="s">
        <v>5233</v>
      </c>
      <c r="Z1275" t="s">
        <v>6555</v>
      </c>
      <c r="AA1275">
        <v>1.001860316932089</v>
      </c>
      <c r="AB1275" t="str">
        <f>HYPERLINK("Melting_Curves/meltCurve_Q9UI12_2_ATP6V1H.pdf", "Melting_Curves/meltCurve_Q9UI12_2_ATP6V1H.pdf")</f>
        <v>Melting_Curves/meltCurve_Q9UI12_2_ATP6V1H.pdf</v>
      </c>
    </row>
    <row r="1276" spans="1:28" x14ac:dyDescent="0.25">
      <c r="A1276" t="s">
        <v>1280</v>
      </c>
      <c r="B1276">
        <v>1</v>
      </c>
      <c r="C1276">
        <v>0.98564935959234301</v>
      </c>
      <c r="D1276">
        <v>1.7082770968186201</v>
      </c>
      <c r="E1276">
        <v>2.1133728136620298</v>
      </c>
      <c r="F1276">
        <v>1.7299270072992701</v>
      </c>
      <c r="G1276">
        <v>1.7232888031951501</v>
      </c>
      <c r="H1276">
        <v>1.64773447183584</v>
      </c>
      <c r="I1276">
        <v>1.76556948078777</v>
      </c>
      <c r="J1276">
        <v>1.1340586696047401</v>
      </c>
      <c r="K1276">
        <v>1.6376807602258601</v>
      </c>
      <c r="L1276">
        <v>11041.598302181999</v>
      </c>
      <c r="M1276">
        <v>250</v>
      </c>
      <c r="O1276">
        <v>44.163566438469203</v>
      </c>
      <c r="P1276">
        <v>0.70759683294935605</v>
      </c>
      <c r="Q1276">
        <v>1.5</v>
      </c>
      <c r="R1276">
        <v>0.39174273327499798</v>
      </c>
      <c r="S1276" t="s">
        <v>2602</v>
      </c>
      <c r="T1276" t="s">
        <v>2650</v>
      </c>
      <c r="U1276" t="s">
        <v>2650</v>
      </c>
      <c r="V1276" t="s">
        <v>2650</v>
      </c>
      <c r="W1276" t="s">
        <v>3925</v>
      </c>
      <c r="X1276">
        <v>1</v>
      </c>
      <c r="Y1276" t="s">
        <v>5234</v>
      </c>
      <c r="Z1276" t="s">
        <v>6556</v>
      </c>
      <c r="AA1276">
        <v>1.4305213575214999</v>
      </c>
      <c r="AB1276" t="str">
        <f>HYPERLINK("Melting_Curves/meltCurve_Q9UJC5_SH3BGRL2.pdf", "Melting_Curves/meltCurve_Q9UJC5_SH3BGRL2.pdf")</f>
        <v>Melting_Curves/meltCurve_Q9UJC5_SH3BGRL2.pdf</v>
      </c>
    </row>
    <row r="1277" spans="1:28" x14ac:dyDescent="0.25">
      <c r="A1277" t="s">
        <v>1281</v>
      </c>
      <c r="B1277">
        <v>1</v>
      </c>
      <c r="C1277">
        <v>0.96993774988612802</v>
      </c>
      <c r="D1277">
        <v>1.3328609747456901</v>
      </c>
      <c r="E1277">
        <v>1.9195303406042801</v>
      </c>
      <c r="F1277">
        <v>1.69472139278304</v>
      </c>
      <c r="G1277">
        <v>1.8319753023938501</v>
      </c>
      <c r="H1277">
        <v>1.97165848474113</v>
      </c>
      <c r="I1277">
        <v>2.76036236651652</v>
      </c>
      <c r="J1277">
        <v>1.82549724176325</v>
      </c>
      <c r="K1277">
        <v>2.2098284326129898</v>
      </c>
      <c r="L1277">
        <v>11468.310648933901</v>
      </c>
      <c r="M1277">
        <v>250</v>
      </c>
      <c r="O1277">
        <v>45.870306534930798</v>
      </c>
      <c r="P1277">
        <v>0.68126860428625902</v>
      </c>
      <c r="Q1277">
        <v>1.5</v>
      </c>
      <c r="R1277">
        <v>-2.8164194979635598E-2</v>
      </c>
      <c r="S1277" t="s">
        <v>2603</v>
      </c>
      <c r="T1277" t="s">
        <v>2650</v>
      </c>
      <c r="U1277" t="s">
        <v>2650</v>
      </c>
      <c r="V1277" t="s">
        <v>2650</v>
      </c>
      <c r="W1277" t="s">
        <v>3926</v>
      </c>
      <c r="X1277">
        <v>3</v>
      </c>
      <c r="Y1277" t="s">
        <v>5235</v>
      </c>
      <c r="Z1277" t="s">
        <v>6557</v>
      </c>
      <c r="AA1277">
        <v>1.402072369991002</v>
      </c>
      <c r="AB1277" t="str">
        <f>HYPERLINK("Melting_Curves/meltCurve_Q9UJH8_METRN.pdf", "Melting_Curves/meltCurve_Q9UJH8_METRN.pdf")</f>
        <v>Melting_Curves/meltCurve_Q9UJH8_METRN.pdf</v>
      </c>
    </row>
    <row r="1278" spans="1:28" x14ac:dyDescent="0.25">
      <c r="A1278" t="s">
        <v>1282</v>
      </c>
      <c r="B1278">
        <v>1</v>
      </c>
      <c r="C1278">
        <v>0.86528829353523595</v>
      </c>
      <c r="D1278">
        <v>1.1960396039604</v>
      </c>
      <c r="E1278">
        <v>1.3441467676179399</v>
      </c>
      <c r="F1278">
        <v>1.10535818287711</v>
      </c>
      <c r="G1278">
        <v>1.10681421083285</v>
      </c>
      <c r="H1278">
        <v>1.0288875946418199</v>
      </c>
      <c r="I1278">
        <v>1.24356435643564</v>
      </c>
      <c r="J1278">
        <v>0.80314502038439095</v>
      </c>
      <c r="K1278">
        <v>1.11729761211415</v>
      </c>
      <c r="L1278">
        <v>11112.701331869301</v>
      </c>
      <c r="M1278">
        <v>250</v>
      </c>
      <c r="O1278">
        <v>44.447960743347998</v>
      </c>
      <c r="P1278">
        <v>0.16614341509445099</v>
      </c>
      <c r="Q1278">
        <v>1.1181557758045499</v>
      </c>
      <c r="R1278">
        <v>0.18806978019874199</v>
      </c>
      <c r="S1278" t="s">
        <v>2604</v>
      </c>
      <c r="T1278" t="s">
        <v>2650</v>
      </c>
      <c r="U1278" t="s">
        <v>2650</v>
      </c>
      <c r="V1278" t="s">
        <v>2650</v>
      </c>
      <c r="W1278" t="s">
        <v>3927</v>
      </c>
      <c r="X1278">
        <v>5</v>
      </c>
      <c r="Y1278" t="s">
        <v>5236</v>
      </c>
      <c r="Z1278" t="s">
        <v>6558</v>
      </c>
      <c r="AA1278">
        <v>1.1006169465359941</v>
      </c>
      <c r="AB1278" t="str">
        <f>HYPERLINK("Melting_Curves/meltCurve_Q9UJJ9_GNPTG.pdf", "Melting_Curves/meltCurve_Q9UJJ9_GNPTG.pdf")</f>
        <v>Melting_Curves/meltCurve_Q9UJJ9_GNPTG.pdf</v>
      </c>
    </row>
    <row r="1279" spans="1:28" x14ac:dyDescent="0.25">
      <c r="A1279" t="s">
        <v>1283</v>
      </c>
      <c r="B1279">
        <v>1</v>
      </c>
      <c r="C1279">
        <v>0.88224942761452396</v>
      </c>
      <c r="D1279">
        <v>1.37164373971125</v>
      </c>
      <c r="E1279">
        <v>1.72968268084543</v>
      </c>
      <c r="F1279">
        <v>1.44019754394596</v>
      </c>
      <c r="G1279">
        <v>1.26751688773676</v>
      </c>
      <c r="H1279">
        <v>1.2215557531836001</v>
      </c>
      <c r="I1279">
        <v>1.5464436413177201</v>
      </c>
      <c r="J1279">
        <v>0.899203390792636</v>
      </c>
      <c r="K1279">
        <v>1.2294083142538199</v>
      </c>
      <c r="L1279">
        <v>11128.4031652556</v>
      </c>
      <c r="M1279">
        <v>250</v>
      </c>
      <c r="O1279">
        <v>44.510749798202603</v>
      </c>
      <c r="P1279">
        <v>0.47490982951458999</v>
      </c>
      <c r="Q1279">
        <v>1.33821759027997</v>
      </c>
      <c r="R1279">
        <v>0.35528983100619399</v>
      </c>
      <c r="S1279" t="s">
        <v>2605</v>
      </c>
      <c r="T1279" t="s">
        <v>2650</v>
      </c>
      <c r="U1279" t="s">
        <v>2650</v>
      </c>
      <c r="V1279" t="s">
        <v>2650</v>
      </c>
      <c r="W1279" t="s">
        <v>3928</v>
      </c>
      <c r="X1279">
        <v>3</v>
      </c>
      <c r="Y1279" t="s">
        <v>5237</v>
      </c>
      <c r="Z1279" t="s">
        <v>6559</v>
      </c>
      <c r="AA1279">
        <v>1.287305061896993</v>
      </c>
      <c r="AB1279" t="str">
        <f>HYPERLINK("Melting_Curves/meltCurve_Q9UKK9_NUDT5.pdf", "Melting_Curves/meltCurve_Q9UKK9_NUDT5.pdf")</f>
        <v>Melting_Curves/meltCurve_Q9UKK9_NUDT5.pdf</v>
      </c>
    </row>
    <row r="1280" spans="1:28" x14ac:dyDescent="0.25">
      <c r="A1280" t="s">
        <v>1284</v>
      </c>
      <c r="B1280">
        <v>1</v>
      </c>
      <c r="C1280">
        <v>0.94224602965030702</v>
      </c>
      <c r="D1280">
        <v>1.15221245614697</v>
      </c>
      <c r="E1280">
        <v>1.3092911841261501</v>
      </c>
      <c r="F1280">
        <v>1.08770606209212</v>
      </c>
      <c r="G1280">
        <v>1.21509675959108</v>
      </c>
      <c r="H1280">
        <v>1.15862537251499</v>
      </c>
      <c r="I1280">
        <v>1.43460711456486</v>
      </c>
      <c r="J1280">
        <v>1.0103738353012199</v>
      </c>
      <c r="K1280">
        <v>1.4072579124071101</v>
      </c>
      <c r="L1280">
        <v>11470.2022710534</v>
      </c>
      <c r="M1280">
        <v>250</v>
      </c>
      <c r="O1280">
        <v>45.877863786627799</v>
      </c>
      <c r="P1280">
        <v>0.31585375803681498</v>
      </c>
      <c r="Q1280">
        <v>1.2318511775244101</v>
      </c>
      <c r="R1280">
        <v>0.40010621943031099</v>
      </c>
      <c r="S1280" t="s">
        <v>2606</v>
      </c>
      <c r="T1280" t="s">
        <v>2650</v>
      </c>
      <c r="U1280" t="s">
        <v>2650</v>
      </c>
      <c r="V1280" t="s">
        <v>2650</v>
      </c>
      <c r="W1280" t="s">
        <v>3929</v>
      </c>
      <c r="X1280">
        <v>2</v>
      </c>
      <c r="Y1280" t="s">
        <v>5238</v>
      </c>
      <c r="Z1280" t="s">
        <v>6560</v>
      </c>
      <c r="AA1280">
        <v>1.1863834251440171</v>
      </c>
      <c r="AB1280" t="str">
        <f>HYPERLINK("Melting_Curves/meltCurve_Q9UL25_RAB21.pdf", "Melting_Curves/meltCurve_Q9UL25_RAB21.pdf")</f>
        <v>Melting_Curves/meltCurve_Q9UL25_RAB21.pdf</v>
      </c>
    </row>
    <row r="1281" spans="1:28" x14ac:dyDescent="0.25">
      <c r="A1281" t="s">
        <v>1285</v>
      </c>
      <c r="B1281">
        <v>1</v>
      </c>
      <c r="C1281">
        <v>0.97785950165115598</v>
      </c>
      <c r="D1281">
        <v>1.3656559591714199</v>
      </c>
      <c r="E1281">
        <v>1.74887421194836</v>
      </c>
      <c r="F1281">
        <v>1.3928249774842401</v>
      </c>
      <c r="G1281">
        <v>1.57812969078355</v>
      </c>
      <c r="H1281">
        <v>1.3574752326628601</v>
      </c>
      <c r="I1281">
        <v>1.5839087361152799</v>
      </c>
      <c r="J1281">
        <v>1.1086760732512799</v>
      </c>
      <c r="K1281">
        <v>1.43988291804263</v>
      </c>
      <c r="L1281">
        <v>11436.963737906</v>
      </c>
      <c r="M1281">
        <v>250</v>
      </c>
      <c r="O1281">
        <v>45.744927412160102</v>
      </c>
      <c r="P1281">
        <v>0.62648863735190996</v>
      </c>
      <c r="Q1281">
        <v>1.4585388351072099</v>
      </c>
      <c r="R1281">
        <v>0.576330854571239</v>
      </c>
      <c r="S1281" t="s">
        <v>2607</v>
      </c>
      <c r="T1281" t="s">
        <v>2650</v>
      </c>
      <c r="U1281" t="s">
        <v>2650</v>
      </c>
      <c r="V1281" t="s">
        <v>2650</v>
      </c>
      <c r="W1281" t="s">
        <v>3930</v>
      </c>
      <c r="X1281">
        <v>4</v>
      </c>
      <c r="Y1281" t="s">
        <v>5239</v>
      </c>
      <c r="Z1281" t="s">
        <v>6561</v>
      </c>
      <c r="AA1281">
        <v>1.370648196707541</v>
      </c>
      <c r="AB1281" t="str">
        <f>HYPERLINK("Melting_Curves/meltCurve_Q9UL46_PSME2.pdf", "Melting_Curves/meltCurve_Q9UL46_PSME2.pdf")</f>
        <v>Melting_Curves/meltCurve_Q9UL46_PSME2.pdf</v>
      </c>
    </row>
    <row r="1282" spans="1:28" x14ac:dyDescent="0.25">
      <c r="A1282" t="s">
        <v>1286</v>
      </c>
      <c r="B1282">
        <v>1</v>
      </c>
      <c r="C1282">
        <v>0.54747674648723499</v>
      </c>
      <c r="D1282">
        <v>1.01844448842272</v>
      </c>
      <c r="E1282">
        <v>1.10590408338281</v>
      </c>
      <c r="F1282">
        <v>0.75362490929480797</v>
      </c>
      <c r="G1282">
        <v>0.75532686852694797</v>
      </c>
      <c r="H1282">
        <v>0.83889438617322998</v>
      </c>
      <c r="I1282">
        <v>0.90618114651362203</v>
      </c>
      <c r="J1282">
        <v>0.44720628009763203</v>
      </c>
      <c r="K1282">
        <v>0.65466059766475404</v>
      </c>
      <c r="L1282">
        <v>231.208159498801</v>
      </c>
      <c r="M1282">
        <v>2.68817504308246</v>
      </c>
      <c r="O1282">
        <v>60.174590114095402</v>
      </c>
      <c r="P1282">
        <v>-1.16379804614911E-2</v>
      </c>
      <c r="Q1282">
        <v>0</v>
      </c>
      <c r="R1282">
        <v>0.19625149443015599</v>
      </c>
      <c r="S1282" t="s">
        <v>2608</v>
      </c>
      <c r="T1282" t="s">
        <v>2650</v>
      </c>
      <c r="U1282" t="s">
        <v>2650</v>
      </c>
      <c r="V1282" t="s">
        <v>2650</v>
      </c>
      <c r="W1282" t="s">
        <v>3931</v>
      </c>
      <c r="X1282">
        <v>1</v>
      </c>
      <c r="Y1282" t="s">
        <v>5240</v>
      </c>
      <c r="Z1282" t="s">
        <v>6562</v>
      </c>
      <c r="AA1282">
        <v>0.81432142935524676</v>
      </c>
      <c r="AB1282" t="str">
        <f>HYPERLINK("Melting_Curves/meltCurve_Q9ULE4_FAM184B.pdf", "Melting_Curves/meltCurve_Q9ULE4_FAM184B.pdf")</f>
        <v>Melting_Curves/meltCurve_Q9ULE4_FAM184B.pdf</v>
      </c>
    </row>
    <row r="1283" spans="1:28" x14ac:dyDescent="0.25">
      <c r="A1283" t="s">
        <v>1287</v>
      </c>
      <c r="B1283">
        <v>1</v>
      </c>
      <c r="C1283">
        <v>0.78062643239113805</v>
      </c>
      <c r="D1283">
        <v>1.34325439266616</v>
      </c>
      <c r="E1283">
        <v>1.7907104660045801</v>
      </c>
      <c r="F1283">
        <v>1.5824293353705099</v>
      </c>
      <c r="G1283">
        <v>1.5344843391902201</v>
      </c>
      <c r="H1283">
        <v>1.65922077922078</v>
      </c>
      <c r="I1283">
        <v>1.9853934300993099</v>
      </c>
      <c r="J1283">
        <v>0.75828877005347595</v>
      </c>
      <c r="K1283">
        <v>1.1963636363636401</v>
      </c>
      <c r="L1283">
        <v>11463.9430214314</v>
      </c>
      <c r="M1283">
        <v>250</v>
      </c>
      <c r="O1283">
        <v>45.852839249790499</v>
      </c>
      <c r="P1283">
        <v>0.68152815960229096</v>
      </c>
      <c r="Q1283">
        <v>1.5</v>
      </c>
      <c r="R1283">
        <v>0.34770882041494799</v>
      </c>
      <c r="S1283" t="s">
        <v>2609</v>
      </c>
      <c r="T1283" t="s">
        <v>2650</v>
      </c>
      <c r="U1283" t="s">
        <v>2650</v>
      </c>
      <c r="V1283" t="s">
        <v>2650</v>
      </c>
      <c r="W1283" t="s">
        <v>3932</v>
      </c>
      <c r="X1283">
        <v>1</v>
      </c>
      <c r="Y1283" t="s">
        <v>5241</v>
      </c>
      <c r="Z1283" t="s">
        <v>6563</v>
      </c>
      <c r="AA1283">
        <v>1.402363560488072</v>
      </c>
      <c r="AB1283" t="str">
        <f>HYPERLINK("Melting_Curves/meltCurve_Q9ULH7_4_MKL2.pdf", "Melting_Curves/meltCurve_Q9ULH7_4_MKL2.pdf")</f>
        <v>Melting_Curves/meltCurve_Q9ULH7_4_MKL2.pdf</v>
      </c>
    </row>
    <row r="1284" spans="1:28" x14ac:dyDescent="0.25">
      <c r="A1284" t="s">
        <v>1288</v>
      </c>
      <c r="B1284">
        <v>1</v>
      </c>
      <c r="C1284">
        <v>0.67775959265320995</v>
      </c>
      <c r="D1284">
        <v>0.96632114929987301</v>
      </c>
      <c r="E1284">
        <v>1.4864520821967599</v>
      </c>
      <c r="F1284">
        <v>0.984615384615385</v>
      </c>
      <c r="G1284">
        <v>1.2924168030551</v>
      </c>
      <c r="H1284">
        <v>1.0530278232405901</v>
      </c>
      <c r="I1284">
        <v>1.1174759047099501</v>
      </c>
      <c r="J1284">
        <v>1.01618476086561</v>
      </c>
      <c r="K1284">
        <v>1.2009819967266799</v>
      </c>
      <c r="L1284">
        <v>11927.084293633099</v>
      </c>
      <c r="M1284">
        <v>250</v>
      </c>
      <c r="O1284">
        <v>47.705284142874298</v>
      </c>
      <c r="P1284">
        <v>0.215450444810595</v>
      </c>
      <c r="Q1284">
        <v>1.16444999487167</v>
      </c>
      <c r="R1284">
        <v>0.29917338849661101</v>
      </c>
      <c r="S1284" t="s">
        <v>2610</v>
      </c>
      <c r="T1284" t="s">
        <v>2650</v>
      </c>
      <c r="U1284" t="s">
        <v>2650</v>
      </c>
      <c r="V1284" t="s">
        <v>2650</v>
      </c>
      <c r="W1284" t="s">
        <v>3933</v>
      </c>
      <c r="X1284">
        <v>2</v>
      </c>
      <c r="Y1284" t="s">
        <v>5242</v>
      </c>
      <c r="Z1284" t="s">
        <v>6564</v>
      </c>
      <c r="AA1284">
        <v>1.1221816922755761</v>
      </c>
      <c r="AB1284" t="str">
        <f>HYPERLINK("Melting_Curves/meltCurve_Q9ULL4_PLXNB3.pdf", "Melting_Curves/meltCurve_Q9ULL4_PLXNB3.pdf")</f>
        <v>Melting_Curves/meltCurve_Q9ULL4_PLXNB3.pdf</v>
      </c>
    </row>
    <row r="1285" spans="1:28" x14ac:dyDescent="0.25">
      <c r="A1285" t="s">
        <v>1289</v>
      </c>
      <c r="B1285">
        <v>1</v>
      </c>
      <c r="C1285">
        <v>0.80149040424663098</v>
      </c>
      <c r="D1285">
        <v>1.1859330338913801</v>
      </c>
      <c r="E1285">
        <v>1.3512249897917501</v>
      </c>
      <c r="F1285">
        <v>1.06149448754594</v>
      </c>
      <c r="G1285">
        <v>0.98385055124540599</v>
      </c>
      <c r="H1285">
        <v>0.89201714985708502</v>
      </c>
      <c r="I1285">
        <v>1.1227439771335199</v>
      </c>
      <c r="J1285">
        <v>0.64475296039199703</v>
      </c>
      <c r="K1285">
        <v>1.0160677827684801</v>
      </c>
      <c r="L1285">
        <v>3040.5712037564799</v>
      </c>
      <c r="M1285">
        <v>46.807239681108598</v>
      </c>
      <c r="O1285">
        <v>64.841195254423099</v>
      </c>
      <c r="P1285">
        <v>-2.5058452060354501E-2</v>
      </c>
      <c r="Q1285">
        <v>0.861148155978538</v>
      </c>
      <c r="R1285">
        <v>9.1011351035568899E-2</v>
      </c>
      <c r="S1285" t="s">
        <v>2611</v>
      </c>
      <c r="T1285" t="s">
        <v>2650</v>
      </c>
      <c r="U1285" t="s">
        <v>2650</v>
      </c>
      <c r="V1285" t="s">
        <v>2650</v>
      </c>
      <c r="W1285" t="s">
        <v>3934</v>
      </c>
      <c r="X1285">
        <v>1</v>
      </c>
      <c r="Y1285" t="s">
        <v>5243</v>
      </c>
      <c r="Z1285" t="s">
        <v>6565</v>
      </c>
      <c r="AA1285">
        <v>0.97685989644396254</v>
      </c>
      <c r="AB1285" t="str">
        <f>HYPERLINK("Melting_Curves/meltCurve_Q9UM22_2_EPDR1.pdf", "Melting_Curves/meltCurve_Q9UM22_2_EPDR1.pdf")</f>
        <v>Melting_Curves/meltCurve_Q9UM22_2_EPDR1.pdf</v>
      </c>
    </row>
    <row r="1286" spans="1:28" x14ac:dyDescent="0.25">
      <c r="A1286" t="s">
        <v>1290</v>
      </c>
      <c r="B1286">
        <v>1</v>
      </c>
      <c r="C1286">
        <v>0.85589129608513903</v>
      </c>
      <c r="D1286">
        <v>1.0507411630558701</v>
      </c>
      <c r="E1286">
        <v>1.32345115925504</v>
      </c>
      <c r="F1286">
        <v>1.18738122386925</v>
      </c>
      <c r="G1286">
        <v>1.10832383124287</v>
      </c>
      <c r="H1286">
        <v>1.16296085138731</v>
      </c>
      <c r="I1286">
        <v>1.4413721018624099</v>
      </c>
      <c r="J1286">
        <v>1.03211706575447</v>
      </c>
      <c r="K1286">
        <v>0.96873812238692503</v>
      </c>
      <c r="L1286">
        <v>11541.1642628552</v>
      </c>
      <c r="M1286">
        <v>250</v>
      </c>
      <c r="O1286">
        <v>46.161702835107299</v>
      </c>
      <c r="P1286">
        <v>0.236812019246324</v>
      </c>
      <c r="Q1286">
        <v>1.17490633669981</v>
      </c>
      <c r="R1286">
        <v>0.32859273460574201</v>
      </c>
      <c r="S1286" t="s">
        <v>2612</v>
      </c>
      <c r="T1286" t="s">
        <v>2650</v>
      </c>
      <c r="U1286" t="s">
        <v>2650</v>
      </c>
      <c r="V1286" t="s">
        <v>2650</v>
      </c>
      <c r="W1286" t="s">
        <v>3935</v>
      </c>
      <c r="X1286">
        <v>1</v>
      </c>
      <c r="Y1286" t="s">
        <v>5244</v>
      </c>
      <c r="Z1286" t="s">
        <v>6566</v>
      </c>
      <c r="AA1286">
        <v>1.138950913364529</v>
      </c>
      <c r="AB1286" t="str">
        <f>HYPERLINK("Melting_Curves/meltCurve_Q9UM54_5_MYO6.pdf", "Melting_Curves/meltCurve_Q9UM54_5_MYO6.pdf")</f>
        <v>Melting_Curves/meltCurve_Q9UM54_5_MYO6.pdf</v>
      </c>
    </row>
    <row r="1287" spans="1:28" x14ac:dyDescent="0.25">
      <c r="A1287" t="s">
        <v>1291</v>
      </c>
      <c r="B1287">
        <v>1</v>
      </c>
      <c r="C1287">
        <v>0.76537591311655595</v>
      </c>
      <c r="D1287">
        <v>0.95627383799857801</v>
      </c>
      <c r="E1287">
        <v>1.25355226582197</v>
      </c>
      <c r="F1287">
        <v>0.93129484776003602</v>
      </c>
      <c r="G1287">
        <v>1.03413278169242</v>
      </c>
      <c r="H1287">
        <v>0.90351024629904997</v>
      </c>
      <c r="I1287">
        <v>0.87206671407330805</v>
      </c>
      <c r="J1287">
        <v>0.56827202792682097</v>
      </c>
      <c r="K1287">
        <v>0.66896373391945196</v>
      </c>
      <c r="L1287">
        <v>15000</v>
      </c>
      <c r="M1287">
        <v>233.69149087787201</v>
      </c>
      <c r="O1287">
        <v>64.182488051807098</v>
      </c>
      <c r="P1287">
        <v>-0.34716386668351501</v>
      </c>
      <c r="Q1287">
        <v>0.61861100168932104</v>
      </c>
      <c r="R1287">
        <v>0.58286547112551002</v>
      </c>
      <c r="S1287" t="s">
        <v>2613</v>
      </c>
      <c r="T1287" t="s">
        <v>2650</v>
      </c>
      <c r="U1287" t="s">
        <v>2650</v>
      </c>
      <c r="V1287" t="s">
        <v>2650</v>
      </c>
      <c r="W1287" t="s">
        <v>3936</v>
      </c>
      <c r="X1287">
        <v>1</v>
      </c>
      <c r="Y1287" t="s">
        <v>5245</v>
      </c>
      <c r="Z1287" t="s">
        <v>6567</v>
      </c>
      <c r="AA1287">
        <v>0.92615110340531237</v>
      </c>
      <c r="AB1287" t="str">
        <f>HYPERLINK("Melting_Curves/meltCurve_Q9UMX0_3_UBQLN1.pdf", "Melting_Curves/meltCurve_Q9UMX0_3_UBQLN1.pdf")</f>
        <v>Melting_Curves/meltCurve_Q9UMX0_3_UBQLN1.pdf</v>
      </c>
    </row>
    <row r="1288" spans="1:28" x14ac:dyDescent="0.25">
      <c r="A1288" t="s">
        <v>1292</v>
      </c>
      <c r="B1288">
        <v>1</v>
      </c>
      <c r="C1288">
        <v>0.84689957201154598</v>
      </c>
      <c r="D1288">
        <v>1.18542848611526</v>
      </c>
      <c r="E1288">
        <v>1.2514183338309901</v>
      </c>
      <c r="F1288">
        <v>1.0323479645665401</v>
      </c>
      <c r="G1288">
        <v>1.0091569622773</v>
      </c>
      <c r="H1288">
        <v>0.98444311734846202</v>
      </c>
      <c r="I1288">
        <v>1.1256096347168301</v>
      </c>
      <c r="J1288">
        <v>0.75637503732457401</v>
      </c>
      <c r="K1288">
        <v>1.01254105703195</v>
      </c>
      <c r="L1288">
        <v>2195.05035533912</v>
      </c>
      <c r="M1288">
        <v>33.484108802289597</v>
      </c>
      <c r="O1288">
        <v>65.322492364986303</v>
      </c>
      <c r="P1288">
        <v>-1.03471994677641E-2</v>
      </c>
      <c r="Q1288">
        <v>0.91925698073047801</v>
      </c>
      <c r="R1288">
        <v>2.9133543550001299E-2</v>
      </c>
      <c r="S1288" t="s">
        <v>2614</v>
      </c>
      <c r="T1288" t="s">
        <v>2650</v>
      </c>
      <c r="U1288" t="s">
        <v>2650</v>
      </c>
      <c r="V1288" t="s">
        <v>2650</v>
      </c>
      <c r="W1288" t="s">
        <v>3937</v>
      </c>
      <c r="X1288">
        <v>3</v>
      </c>
      <c r="Y1288" t="s">
        <v>5246</v>
      </c>
      <c r="Z1288" t="s">
        <v>6568</v>
      </c>
      <c r="AA1288">
        <v>0.98783439225856429</v>
      </c>
      <c r="AB1288" t="str">
        <f>HYPERLINK("Melting_Curves/meltCurve_Q9UMX5_NENF.pdf", "Melting_Curves/meltCurve_Q9UMX5_NENF.pdf")</f>
        <v>Melting_Curves/meltCurve_Q9UMX5_NENF.pdf</v>
      </c>
    </row>
    <row r="1289" spans="1:28" x14ac:dyDescent="0.25">
      <c r="A1289" t="s">
        <v>1293</v>
      </c>
      <c r="B1289">
        <v>1</v>
      </c>
      <c r="C1289">
        <v>0.82838425273985195</v>
      </c>
      <c r="D1289">
        <v>1.0262658421600399</v>
      </c>
      <c r="E1289">
        <v>1.29584277230148</v>
      </c>
      <c r="F1289">
        <v>1.22512704340905</v>
      </c>
      <c r="G1289">
        <v>1.27404640911039</v>
      </c>
      <c r="H1289">
        <v>1.31365946243801</v>
      </c>
      <c r="I1289">
        <v>1.54797036674218</v>
      </c>
      <c r="J1289">
        <v>0.92861078797526497</v>
      </c>
      <c r="K1289">
        <v>1.3563338027306699</v>
      </c>
      <c r="L1289">
        <v>11603.849546841</v>
      </c>
      <c r="M1289">
        <v>250</v>
      </c>
      <c r="O1289">
        <v>46.412427232809101</v>
      </c>
      <c r="P1289">
        <v>0.373512690319528</v>
      </c>
      <c r="Q1289">
        <v>1.27737009268112</v>
      </c>
      <c r="R1289">
        <v>0.47966627369710002</v>
      </c>
      <c r="S1289" t="s">
        <v>2615</v>
      </c>
      <c r="T1289" t="s">
        <v>2650</v>
      </c>
      <c r="U1289" t="s">
        <v>2650</v>
      </c>
      <c r="V1289" t="s">
        <v>2650</v>
      </c>
      <c r="W1289" t="s">
        <v>3938</v>
      </c>
      <c r="X1289">
        <v>2</v>
      </c>
      <c r="Y1289" t="s">
        <v>5247</v>
      </c>
      <c r="Z1289" t="s">
        <v>6569</v>
      </c>
      <c r="AA1289">
        <v>1.2180328455906531</v>
      </c>
      <c r="AB1289" t="str">
        <f>HYPERLINK("Melting_Curves/meltCurve_Q9UN36_2_NDRG2.pdf", "Melting_Curves/meltCurve_Q9UN36_2_NDRG2.pdf")</f>
        <v>Melting_Curves/meltCurve_Q9UN36_2_NDRG2.pdf</v>
      </c>
    </row>
    <row r="1290" spans="1:28" x14ac:dyDescent="0.25">
      <c r="A1290" t="s">
        <v>1294</v>
      </c>
      <c r="B1290">
        <v>1</v>
      </c>
      <c r="C1290">
        <v>0.81973632685028097</v>
      </c>
      <c r="D1290">
        <v>1.0516468694252299</v>
      </c>
      <c r="E1290">
        <v>1.1806117565156899</v>
      </c>
      <c r="F1290">
        <v>1.1082104163947299</v>
      </c>
      <c r="G1290">
        <v>1.0483400774485501</v>
      </c>
      <c r="H1290">
        <v>0.96649697602575801</v>
      </c>
      <c r="I1290">
        <v>1.13723186703215</v>
      </c>
      <c r="J1290">
        <v>0.75712483139711995</v>
      </c>
      <c r="K1290">
        <v>1.0979419570987301</v>
      </c>
      <c r="L1290">
        <v>15000</v>
      </c>
      <c r="M1290">
        <v>212.87316818697499</v>
      </c>
      <c r="Q1290">
        <v>1.5</v>
      </c>
      <c r="R1290">
        <v>4.0511430128542199E-2</v>
      </c>
      <c r="S1290" t="s">
        <v>2616</v>
      </c>
      <c r="T1290" t="s">
        <v>2650</v>
      </c>
      <c r="U1290" t="s">
        <v>2650</v>
      </c>
      <c r="V1290" t="s">
        <v>2650</v>
      </c>
      <c r="W1290" t="s">
        <v>3939</v>
      </c>
      <c r="X1290">
        <v>1</v>
      </c>
      <c r="Y1290" t="s">
        <v>5248</v>
      </c>
      <c r="Z1290" t="s">
        <v>6570</v>
      </c>
      <c r="AA1290">
        <v>1.001175078195115</v>
      </c>
      <c r="AB1290" t="str">
        <f>HYPERLINK("Melting_Curves/meltCurve_Q9UN86_2_G3BP2.pdf", "Melting_Curves/meltCurve_Q9UN86_2_G3BP2.pdf")</f>
        <v>Melting_Curves/meltCurve_Q9UN86_2_G3BP2.pdf</v>
      </c>
    </row>
    <row r="1291" spans="1:28" x14ac:dyDescent="0.25">
      <c r="A1291" t="s">
        <v>1295</v>
      </c>
      <c r="B1291">
        <v>1</v>
      </c>
      <c r="C1291">
        <v>0.83617958958821104</v>
      </c>
      <c r="D1291">
        <v>1.20809805811872</v>
      </c>
      <c r="E1291">
        <v>1.52320616994904</v>
      </c>
      <c r="F1291">
        <v>1.2007299270073</v>
      </c>
      <c r="G1291">
        <v>1.27585731992838</v>
      </c>
      <c r="H1291">
        <v>1.1154799614378199</v>
      </c>
      <c r="I1291">
        <v>1.30870403525685</v>
      </c>
      <c r="J1291">
        <v>0.86510122572648396</v>
      </c>
      <c r="K1291">
        <v>1.2445255474452599</v>
      </c>
      <c r="L1291">
        <v>11364.711691000301</v>
      </c>
      <c r="M1291">
        <v>250</v>
      </c>
      <c r="O1291">
        <v>45.455939250106297</v>
      </c>
      <c r="P1291">
        <v>0.30123467207771198</v>
      </c>
      <c r="Q1291">
        <v>1.2190864715366201</v>
      </c>
      <c r="R1291">
        <v>0.32750864964314103</v>
      </c>
      <c r="S1291" t="s">
        <v>2617</v>
      </c>
      <c r="T1291" t="s">
        <v>2650</v>
      </c>
      <c r="U1291" t="s">
        <v>2650</v>
      </c>
      <c r="V1291" t="s">
        <v>2650</v>
      </c>
      <c r="W1291" t="s">
        <v>3940</v>
      </c>
      <c r="X1291">
        <v>8</v>
      </c>
      <c r="Y1291" t="s">
        <v>5249</v>
      </c>
      <c r="Z1291" t="s">
        <v>6571</v>
      </c>
      <c r="AA1291">
        <v>1.179203677039637</v>
      </c>
      <c r="AB1291" t="str">
        <f>HYPERLINK("Melting_Curves/meltCurve_Q9UNW1_MINPP1.pdf", "Melting_Curves/meltCurve_Q9UNW1_MINPP1.pdf")</f>
        <v>Melting_Curves/meltCurve_Q9UNW1_MINPP1.pdf</v>
      </c>
    </row>
    <row r="1292" spans="1:28" x14ac:dyDescent="0.25">
      <c r="A1292" t="s">
        <v>1296</v>
      </c>
      <c r="B1292">
        <v>1</v>
      </c>
      <c r="C1292">
        <v>0.58783603616706703</v>
      </c>
      <c r="D1292">
        <v>1.0859089035948899</v>
      </c>
      <c r="E1292">
        <v>1.23549802438611</v>
      </c>
      <c r="F1292">
        <v>0.73766756357113406</v>
      </c>
      <c r="G1292">
        <v>0.92301165975807797</v>
      </c>
      <c r="H1292">
        <v>0.92274501248394103</v>
      </c>
      <c r="I1292">
        <v>0.90800669042251503</v>
      </c>
      <c r="J1292">
        <v>0.494461008896323</v>
      </c>
      <c r="K1292">
        <v>0.77960390759459897</v>
      </c>
      <c r="L1292">
        <v>865.28351875712804</v>
      </c>
      <c r="M1292">
        <v>13.426315836188</v>
      </c>
      <c r="O1292">
        <v>63.067512946899001</v>
      </c>
      <c r="P1292">
        <v>-2.3332375702142801E-2</v>
      </c>
      <c r="Q1292">
        <v>0.56167098835157803</v>
      </c>
      <c r="R1292">
        <v>0.163615496748369</v>
      </c>
      <c r="S1292" t="s">
        <v>2618</v>
      </c>
      <c r="T1292" t="s">
        <v>2650</v>
      </c>
      <c r="U1292" t="s">
        <v>2650</v>
      </c>
      <c r="V1292" t="s">
        <v>2650</v>
      </c>
      <c r="W1292" t="s">
        <v>3941</v>
      </c>
      <c r="X1292">
        <v>1</v>
      </c>
      <c r="Y1292" t="s">
        <v>5250</v>
      </c>
      <c r="Z1292" t="s">
        <v>6572</v>
      </c>
      <c r="AA1292">
        <v>0.90719471793848894</v>
      </c>
      <c r="AB1292" t="str">
        <f>HYPERLINK("Melting_Curves/meltCurve_Q9UNX3_RPL26L1.pdf", "Melting_Curves/meltCurve_Q9UNX3_RPL26L1.pdf")</f>
        <v>Melting_Curves/meltCurve_Q9UNX3_RPL26L1.pdf</v>
      </c>
    </row>
    <row r="1293" spans="1:28" x14ac:dyDescent="0.25">
      <c r="A1293" t="s">
        <v>1297</v>
      </c>
      <c r="B1293">
        <v>1</v>
      </c>
      <c r="C1293">
        <v>0.80887139504958006</v>
      </c>
      <c r="D1293">
        <v>1.18817651956703</v>
      </c>
      <c r="E1293">
        <v>1.3936113844523501</v>
      </c>
      <c r="F1293">
        <v>1.28801756112331</v>
      </c>
      <c r="G1293">
        <v>1.35553705245629</v>
      </c>
      <c r="H1293">
        <v>1.28226477935054</v>
      </c>
      <c r="I1293">
        <v>1.3993641662251199</v>
      </c>
      <c r="J1293">
        <v>1.0731965786087401</v>
      </c>
      <c r="K1293">
        <v>1.2519112860495001</v>
      </c>
      <c r="L1293">
        <v>11472.638202933</v>
      </c>
      <c r="M1293">
        <v>250</v>
      </c>
      <c r="O1293">
        <v>45.887624381521803</v>
      </c>
      <c r="P1293">
        <v>0.39769188028588798</v>
      </c>
      <c r="Q1293">
        <v>1.2919861171956</v>
      </c>
      <c r="R1293">
        <v>0.658152108435901</v>
      </c>
      <c r="S1293" t="s">
        <v>2619</v>
      </c>
      <c r="T1293" t="s">
        <v>2650</v>
      </c>
      <c r="U1293" t="s">
        <v>2650</v>
      </c>
      <c r="V1293" t="s">
        <v>2650</v>
      </c>
      <c r="W1293" t="s">
        <v>3942</v>
      </c>
      <c r="X1293">
        <v>5</v>
      </c>
      <c r="Y1293" t="s">
        <v>5251</v>
      </c>
      <c r="Z1293" t="s">
        <v>6573</v>
      </c>
      <c r="AA1293">
        <v>1.2346306133284399</v>
      </c>
      <c r="AB1293" t="str">
        <f>HYPERLINK("Melting_Curves/meltCurve_Q9UNZ2_NSFL1C.pdf", "Melting_Curves/meltCurve_Q9UNZ2_NSFL1C.pdf")</f>
        <v>Melting_Curves/meltCurve_Q9UNZ2_NSFL1C.pdf</v>
      </c>
    </row>
    <row r="1294" spans="1:28" x14ac:dyDescent="0.25">
      <c r="A1294" t="s">
        <v>1298</v>
      </c>
      <c r="B1294">
        <v>1</v>
      </c>
      <c r="C1294">
        <v>0.81166039763567999</v>
      </c>
      <c r="D1294">
        <v>1.0556152606125699</v>
      </c>
      <c r="E1294">
        <v>1.1579258463191799</v>
      </c>
      <c r="F1294">
        <v>1.0734551316496499</v>
      </c>
      <c r="G1294">
        <v>0.99586243954862996</v>
      </c>
      <c r="H1294">
        <v>1.00822138635142</v>
      </c>
      <c r="I1294">
        <v>1.1607200429876401</v>
      </c>
      <c r="J1294">
        <v>0.79312197743148805</v>
      </c>
      <c r="K1294">
        <v>1.03068242880172</v>
      </c>
      <c r="L1294">
        <v>1502.1307124821701</v>
      </c>
      <c r="M1294">
        <v>22.2771099070814</v>
      </c>
      <c r="O1294">
        <v>66.893034090989303</v>
      </c>
      <c r="P1294">
        <v>-3.9041960616990898E-3</v>
      </c>
      <c r="Q1294">
        <v>0.95310738615976098</v>
      </c>
      <c r="R1294">
        <v>7.2100401426717902E-3</v>
      </c>
      <c r="S1294" t="s">
        <v>2620</v>
      </c>
      <c r="T1294" t="s">
        <v>2650</v>
      </c>
      <c r="U1294" t="s">
        <v>2650</v>
      </c>
      <c r="V1294" t="s">
        <v>2650</v>
      </c>
      <c r="W1294" t="s">
        <v>3943</v>
      </c>
      <c r="X1294">
        <v>1</v>
      </c>
      <c r="Y1294" t="s">
        <v>5252</v>
      </c>
      <c r="Z1294" t="s">
        <v>6574</v>
      </c>
      <c r="AA1294">
        <v>0.99461240331387102</v>
      </c>
      <c r="AB1294" t="str">
        <f>HYPERLINK("Melting_Curves/meltCurve_Q9UQ13_2_SHOC2.pdf", "Melting_Curves/meltCurve_Q9UQ13_2_SHOC2.pdf")</f>
        <v>Melting_Curves/meltCurve_Q9UQ13_2_SHOC2.pdf</v>
      </c>
    </row>
    <row r="1295" spans="1:28" x14ac:dyDescent="0.25">
      <c r="A1295" t="s">
        <v>1299</v>
      </c>
      <c r="B1295">
        <v>1</v>
      </c>
      <c r="C1295">
        <v>1.19955084471817</v>
      </c>
      <c r="D1295">
        <v>1.13597155349882</v>
      </c>
      <c r="E1295">
        <v>1.1889344471476899</v>
      </c>
      <c r="F1295">
        <v>1.1730949180801999</v>
      </c>
      <c r="G1295">
        <v>1.42935161712915</v>
      </c>
      <c r="H1295">
        <v>1.2463548666995601</v>
      </c>
      <c r="I1295">
        <v>1.3968048726542699</v>
      </c>
      <c r="J1295">
        <v>1.22372696803171</v>
      </c>
      <c r="K1295">
        <v>1.60472633853378</v>
      </c>
      <c r="L1295">
        <v>325.644884425783</v>
      </c>
      <c r="M1295">
        <v>6.1477332550395802</v>
      </c>
      <c r="O1295">
        <v>48.187400303732403</v>
      </c>
      <c r="P1295">
        <v>1.5994801735060099E-2</v>
      </c>
      <c r="Q1295">
        <v>1.5</v>
      </c>
      <c r="R1295">
        <v>0.57345224915333104</v>
      </c>
      <c r="S1295" t="s">
        <v>2621</v>
      </c>
      <c r="T1295" t="s">
        <v>2650</v>
      </c>
      <c r="U1295" t="s">
        <v>2650</v>
      </c>
      <c r="V1295" t="s">
        <v>2650</v>
      </c>
      <c r="W1295" t="s">
        <v>3944</v>
      </c>
      <c r="X1295">
        <v>1</v>
      </c>
      <c r="Y1295" t="s">
        <v>5253</v>
      </c>
      <c r="Z1295" t="s">
        <v>6575</v>
      </c>
      <c r="AA1295">
        <v>1.260103146665569</v>
      </c>
      <c r="AB1295" t="str">
        <f>HYPERLINK("Melting_Curves/meltCurve_Q9UQ80_2_PA2G4.pdf", "Melting_Curves/meltCurve_Q9UQ80_2_PA2G4.pdf")</f>
        <v>Melting_Curves/meltCurve_Q9UQ80_2_PA2G4.pdf</v>
      </c>
    </row>
    <row r="1296" spans="1:28" x14ac:dyDescent="0.25">
      <c r="A1296" t="s">
        <v>1300</v>
      </c>
      <c r="B1296">
        <v>1</v>
      </c>
      <c r="C1296">
        <v>0.78076196678606302</v>
      </c>
      <c r="D1296">
        <v>1.18577661999349</v>
      </c>
      <c r="E1296">
        <v>1.4339303158580301</v>
      </c>
      <c r="F1296">
        <v>1.15209378052752</v>
      </c>
      <c r="G1296">
        <v>1.1986584174535999</v>
      </c>
      <c r="H1296">
        <v>1.096646043634</v>
      </c>
      <c r="I1296">
        <v>1.28992510582872</v>
      </c>
      <c r="J1296">
        <v>0.82394008466297597</v>
      </c>
      <c r="K1296">
        <v>1.1266558124389401</v>
      </c>
      <c r="L1296">
        <v>11151.2012622245</v>
      </c>
      <c r="M1296">
        <v>250</v>
      </c>
      <c r="O1296">
        <v>44.6019506489761</v>
      </c>
      <c r="P1296">
        <v>0.229055171978165</v>
      </c>
      <c r="Q1296">
        <v>1.1634609193887699</v>
      </c>
      <c r="R1296">
        <v>0.268026825242343</v>
      </c>
      <c r="S1296" t="s">
        <v>2622</v>
      </c>
      <c r="T1296" t="s">
        <v>2650</v>
      </c>
      <c r="U1296" t="s">
        <v>2650</v>
      </c>
      <c r="V1296" t="s">
        <v>2650</v>
      </c>
      <c r="W1296" t="s">
        <v>3945</v>
      </c>
      <c r="X1296">
        <v>6</v>
      </c>
      <c r="Y1296" t="s">
        <v>5254</v>
      </c>
      <c r="Z1296" t="s">
        <v>6576</v>
      </c>
      <c r="AA1296">
        <v>1.1383579346506281</v>
      </c>
      <c r="AB1296" t="str">
        <f>HYPERLINK("Melting_Curves/meltCurve_Q9UQB8_3_BAIAP2.pdf", "Melting_Curves/meltCurve_Q9UQB8_3_BAIAP2.pdf")</f>
        <v>Melting_Curves/meltCurve_Q9UQB8_3_BAIAP2.pdf</v>
      </c>
    </row>
    <row r="1297" spans="1:28" x14ac:dyDescent="0.25">
      <c r="A1297" t="s">
        <v>1301</v>
      </c>
      <c r="B1297">
        <v>1</v>
      </c>
      <c r="C1297">
        <v>0.70724405850091399</v>
      </c>
      <c r="D1297">
        <v>0.99917733089579497</v>
      </c>
      <c r="E1297">
        <v>1.1964351005484499</v>
      </c>
      <c r="F1297">
        <v>0.84414990859232197</v>
      </c>
      <c r="G1297">
        <v>0.96108318098720302</v>
      </c>
      <c r="H1297">
        <v>0.84844606946983503</v>
      </c>
      <c r="I1297">
        <v>1.00808957952468</v>
      </c>
      <c r="J1297">
        <v>0.62173217550274196</v>
      </c>
      <c r="K1297">
        <v>0.85230804387568604</v>
      </c>
      <c r="L1297">
        <v>836.56956563112499</v>
      </c>
      <c r="M1297">
        <v>13.226576762155901</v>
      </c>
      <c r="O1297">
        <v>61.855765210214102</v>
      </c>
      <c r="P1297">
        <v>-1.5151767517528E-2</v>
      </c>
      <c r="Q1297">
        <v>0.71661015150334095</v>
      </c>
      <c r="R1297">
        <v>0.12944385880805601</v>
      </c>
      <c r="S1297" t="s">
        <v>2623</v>
      </c>
      <c r="T1297" t="s">
        <v>2650</v>
      </c>
      <c r="U1297" t="s">
        <v>2650</v>
      </c>
      <c r="V1297" t="s">
        <v>2650</v>
      </c>
      <c r="W1297" t="s">
        <v>3946</v>
      </c>
      <c r="X1297">
        <v>1</v>
      </c>
      <c r="Y1297" t="s">
        <v>5255</v>
      </c>
      <c r="Z1297" t="s">
        <v>6577</v>
      </c>
      <c r="AA1297">
        <v>0.93150514810918594</v>
      </c>
      <c r="AB1297" t="str">
        <f>HYPERLINK("Melting_Curves/meltCurve_Q9Y265_2_RUVBL1.pdf", "Melting_Curves/meltCurve_Q9Y265_2_RUVBL1.pdf")</f>
        <v>Melting_Curves/meltCurve_Q9Y265_2_RUVBL1.pdf</v>
      </c>
    </row>
    <row r="1298" spans="1:28" x14ac:dyDescent="0.25">
      <c r="A1298" t="s">
        <v>1302</v>
      </c>
      <c r="B1298">
        <v>1</v>
      </c>
      <c r="C1298">
        <v>0.72662546702070197</v>
      </c>
      <c r="D1298">
        <v>1.20057804826468</v>
      </c>
      <c r="E1298">
        <v>1.53838381464859</v>
      </c>
      <c r="F1298">
        <v>1.2463519515003401</v>
      </c>
      <c r="G1298">
        <v>1.3907700260826701</v>
      </c>
      <c r="H1298">
        <v>1.26895692835491</v>
      </c>
      <c r="I1298">
        <v>1.52835021265597</v>
      </c>
      <c r="J1298">
        <v>0.95930164250299599</v>
      </c>
      <c r="K1298">
        <v>1.2810348473811599</v>
      </c>
      <c r="L1298">
        <v>11474.6454065696</v>
      </c>
      <c r="M1298">
        <v>250</v>
      </c>
      <c r="O1298">
        <v>45.895644620786797</v>
      </c>
      <c r="P1298">
        <v>0.43054767129508398</v>
      </c>
      <c r="Q1298">
        <v>1.31616420488167</v>
      </c>
      <c r="R1298">
        <v>0.47589429964138202</v>
      </c>
      <c r="S1298" t="s">
        <v>2624</v>
      </c>
      <c r="T1298" t="s">
        <v>2650</v>
      </c>
      <c r="U1298" t="s">
        <v>2650</v>
      </c>
      <c r="V1298" t="s">
        <v>2650</v>
      </c>
      <c r="W1298" t="s">
        <v>3947</v>
      </c>
      <c r="X1298">
        <v>4</v>
      </c>
      <c r="Y1298" t="s">
        <v>5256</v>
      </c>
      <c r="Z1298" t="s">
        <v>6578</v>
      </c>
      <c r="AA1298">
        <v>1.2539747251183631</v>
      </c>
      <c r="AB1298" t="str">
        <f>HYPERLINK("Melting_Curves/meltCurve_Q9Y266_NUDC.pdf", "Melting_Curves/meltCurve_Q9Y266_NUDC.pdf")</f>
        <v>Melting_Curves/meltCurve_Q9Y266_NUDC.pdf</v>
      </c>
    </row>
    <row r="1299" spans="1:28" x14ac:dyDescent="0.25">
      <c r="A1299" t="s">
        <v>1303</v>
      </c>
      <c r="B1299">
        <v>1</v>
      </c>
      <c r="C1299">
        <v>0.77017699395244299</v>
      </c>
      <c r="D1299">
        <v>1.03177342241079</v>
      </c>
      <c r="E1299">
        <v>1.2672165405439599</v>
      </c>
      <c r="F1299">
        <v>1.18289902795808</v>
      </c>
      <c r="G1299">
        <v>1.44588861096159</v>
      </c>
      <c r="H1299">
        <v>1.30869455086597</v>
      </c>
      <c r="I1299">
        <v>1.5510559478200301</v>
      </c>
      <c r="J1299">
        <v>1.2419972770161201</v>
      </c>
      <c r="K1299">
        <v>1.56414843428427</v>
      </c>
      <c r="L1299">
        <v>1009.04915775013</v>
      </c>
      <c r="M1299">
        <v>19.6910065237787</v>
      </c>
      <c r="O1299">
        <v>50.724425066633998</v>
      </c>
      <c r="P1299">
        <v>4.1889374296655603E-2</v>
      </c>
      <c r="Q1299">
        <v>1.4316165199857001</v>
      </c>
      <c r="R1299">
        <v>0.71735354204946999</v>
      </c>
      <c r="S1299" t="s">
        <v>2625</v>
      </c>
      <c r="T1299" t="s">
        <v>2650</v>
      </c>
      <c r="U1299" t="s">
        <v>2650</v>
      </c>
      <c r="V1299" t="s">
        <v>2650</v>
      </c>
      <c r="W1299" t="s">
        <v>3948</v>
      </c>
      <c r="X1299">
        <v>1</v>
      </c>
      <c r="Y1299" t="s">
        <v>5257</v>
      </c>
      <c r="Z1299" t="s">
        <v>6579</v>
      </c>
      <c r="AA1299">
        <v>1.263681712093768</v>
      </c>
      <c r="AB1299" t="str">
        <f>HYPERLINK("Melting_Curves/meltCurve_Q9Y295_DRG1.pdf", "Melting_Curves/meltCurve_Q9Y295_DRG1.pdf")</f>
        <v>Melting_Curves/meltCurve_Q9Y295_DRG1.pdf</v>
      </c>
    </row>
    <row r="1300" spans="1:28" x14ac:dyDescent="0.25">
      <c r="A1300" t="s">
        <v>1304</v>
      </c>
      <c r="B1300">
        <v>1</v>
      </c>
      <c r="C1300">
        <v>1.2194275802254999</v>
      </c>
      <c r="D1300">
        <v>1.35091066782307</v>
      </c>
      <c r="E1300">
        <v>1.39180398959237</v>
      </c>
      <c r="F1300">
        <v>1.4352558542931499</v>
      </c>
      <c r="G1300">
        <v>1.5083694709453599</v>
      </c>
      <c r="H1300">
        <v>1.24271465741544</v>
      </c>
      <c r="I1300">
        <v>1.1620988725065</v>
      </c>
      <c r="J1300">
        <v>0.73278404163052901</v>
      </c>
      <c r="K1300">
        <v>1.4192107545533399</v>
      </c>
      <c r="L1300">
        <v>10670.0576817238</v>
      </c>
      <c r="M1300">
        <v>250</v>
      </c>
      <c r="O1300">
        <v>42.677500665764001</v>
      </c>
      <c r="P1300">
        <v>0.41062846673138997</v>
      </c>
      <c r="Q1300">
        <v>1.28039353844973</v>
      </c>
      <c r="R1300">
        <v>0.141770781189134</v>
      </c>
      <c r="S1300" t="s">
        <v>2626</v>
      </c>
      <c r="T1300" t="s">
        <v>2650</v>
      </c>
      <c r="U1300" t="s">
        <v>2650</v>
      </c>
      <c r="V1300" t="s">
        <v>2650</v>
      </c>
      <c r="W1300" t="s">
        <v>3949</v>
      </c>
      <c r="X1300">
        <v>1</v>
      </c>
      <c r="Y1300" t="s">
        <v>5258</v>
      </c>
      <c r="Z1300" t="s">
        <v>6580</v>
      </c>
      <c r="AA1300">
        <v>1.255321890106704</v>
      </c>
      <c r="AB1300" t="str">
        <f>HYPERLINK("Melting_Curves/meltCurve_Q9Y2A9_B3GNT3.pdf", "Melting_Curves/meltCurve_Q9Y2A9_B3GNT3.pdf")</f>
        <v>Melting_Curves/meltCurve_Q9Y2A9_B3GNT3.pdf</v>
      </c>
    </row>
    <row r="1301" spans="1:28" x14ac:dyDescent="0.25">
      <c r="A1301" t="s">
        <v>1305</v>
      </c>
      <c r="B1301">
        <v>1</v>
      </c>
      <c r="C1301">
        <v>0.84153703273740399</v>
      </c>
      <c r="D1301">
        <v>1.1118527977710699</v>
      </c>
      <c r="E1301">
        <v>1.48978407244021</v>
      </c>
      <c r="F1301">
        <v>1.1422103552356599</v>
      </c>
      <c r="G1301">
        <v>1.3881472022289301</v>
      </c>
      <c r="H1301">
        <v>2.05984443928488</v>
      </c>
      <c r="I1301">
        <v>3.1155096354771299</v>
      </c>
      <c r="J1301">
        <v>2.24065474808451</v>
      </c>
      <c r="K1301">
        <v>3.2291037845367998</v>
      </c>
      <c r="L1301">
        <v>1411.9764218232001</v>
      </c>
      <c r="M1301">
        <v>29.361594581287601</v>
      </c>
      <c r="O1301">
        <v>47.867813220338498</v>
      </c>
      <c r="P1301">
        <v>7.6674180846300594E-2</v>
      </c>
      <c r="Q1301">
        <v>1.5</v>
      </c>
      <c r="R1301">
        <v>1.8637851847595699E-2</v>
      </c>
      <c r="S1301" t="s">
        <v>2627</v>
      </c>
      <c r="T1301" t="s">
        <v>2650</v>
      </c>
      <c r="U1301" t="s">
        <v>2650</v>
      </c>
      <c r="V1301" t="s">
        <v>2650</v>
      </c>
      <c r="W1301" t="s">
        <v>3950</v>
      </c>
      <c r="X1301">
        <v>3</v>
      </c>
      <c r="Y1301" t="s">
        <v>5259</v>
      </c>
      <c r="Z1301" t="s">
        <v>6581</v>
      </c>
      <c r="AA1301">
        <v>1.3620294991509081</v>
      </c>
      <c r="AB1301" t="str">
        <f>HYPERLINK("Melting_Curves/meltCurve_Q9Y2E5_2_MAN2B2.pdf", "Melting_Curves/meltCurve_Q9Y2E5_2_MAN2B2.pdf")</f>
        <v>Melting_Curves/meltCurve_Q9Y2E5_2_MAN2B2.pdf</v>
      </c>
    </row>
    <row r="1302" spans="1:28" x14ac:dyDescent="0.25">
      <c r="A1302" t="s">
        <v>1306</v>
      </c>
      <c r="B1302">
        <v>1</v>
      </c>
      <c r="C1302">
        <v>0.90569698394967402</v>
      </c>
      <c r="D1302">
        <v>1.0528543712152401</v>
      </c>
      <c r="E1302">
        <v>1.2920806631783199</v>
      </c>
      <c r="F1302">
        <v>1.1099417955200199</v>
      </c>
      <c r="G1302">
        <v>1.13369392674466</v>
      </c>
      <c r="H1302">
        <v>1.03286495384796</v>
      </c>
      <c r="I1302">
        <v>1.3385266623552201</v>
      </c>
      <c r="J1302">
        <v>1.01052384031983</v>
      </c>
      <c r="K1302">
        <v>1.2449879475571799</v>
      </c>
      <c r="L1302">
        <v>11535.0482083963</v>
      </c>
      <c r="M1302">
        <v>250</v>
      </c>
      <c r="O1302">
        <v>46.137240205326698</v>
      </c>
      <c r="P1302">
        <v>0.22499251781176899</v>
      </c>
      <c r="Q1302">
        <v>1.1660885410873001</v>
      </c>
      <c r="R1302">
        <v>0.39639805764160901</v>
      </c>
      <c r="S1302" t="s">
        <v>2628</v>
      </c>
      <c r="T1302" t="s">
        <v>2650</v>
      </c>
      <c r="U1302" t="s">
        <v>2650</v>
      </c>
      <c r="V1302" t="s">
        <v>2650</v>
      </c>
      <c r="W1302" t="s">
        <v>3951</v>
      </c>
      <c r="X1302">
        <v>2</v>
      </c>
      <c r="Y1302" t="s">
        <v>5260</v>
      </c>
      <c r="Z1302" t="s">
        <v>6582</v>
      </c>
      <c r="AA1302">
        <v>1.1320812363569881</v>
      </c>
      <c r="AB1302" t="str">
        <f>HYPERLINK("Melting_Curves/meltCurve_Q9Y2S2_2_CRYL1.pdf", "Melting_Curves/meltCurve_Q9Y2S2_2_CRYL1.pdf")</f>
        <v>Melting_Curves/meltCurve_Q9Y2S2_2_CRYL1.pdf</v>
      </c>
    </row>
    <row r="1303" spans="1:28" x14ac:dyDescent="0.25">
      <c r="A1303" t="s">
        <v>1307</v>
      </c>
      <c r="B1303">
        <v>1</v>
      </c>
      <c r="C1303">
        <v>1.00316957210777</v>
      </c>
      <c r="D1303">
        <v>1.75787990843458</v>
      </c>
      <c r="E1303">
        <v>2.5870751892938899</v>
      </c>
      <c r="F1303">
        <v>3.7776016904384599</v>
      </c>
      <c r="G1303">
        <v>2.7125374185596098</v>
      </c>
      <c r="H1303">
        <v>2.7474907554146899</v>
      </c>
      <c r="I1303">
        <v>3.3546399013910899</v>
      </c>
      <c r="J1303">
        <v>3.2295298468040099</v>
      </c>
      <c r="K1303">
        <v>3.3345659447085798</v>
      </c>
      <c r="L1303">
        <v>10939.414257693201</v>
      </c>
      <c r="M1303">
        <v>250</v>
      </c>
      <c r="O1303">
        <v>43.754857346110803</v>
      </c>
      <c r="P1303">
        <v>0.71420642872384699</v>
      </c>
      <c r="Q1303">
        <v>1.5</v>
      </c>
      <c r="R1303">
        <v>-1.2082748791951601</v>
      </c>
      <c r="S1303" t="s">
        <v>2629</v>
      </c>
      <c r="T1303" t="s">
        <v>2650</v>
      </c>
      <c r="U1303" t="s">
        <v>2650</v>
      </c>
      <c r="V1303" t="s">
        <v>2650</v>
      </c>
      <c r="W1303" t="s">
        <v>3952</v>
      </c>
      <c r="X1303">
        <v>2</v>
      </c>
      <c r="Y1303" t="s">
        <v>5261</v>
      </c>
      <c r="Z1303" t="s">
        <v>6583</v>
      </c>
      <c r="AA1303">
        <v>1.437333985816766</v>
      </c>
      <c r="AB1303" t="str">
        <f>HYPERLINK("Melting_Curves/meltCurve_Q9Y376_CAB39.pdf", "Melting_Curves/meltCurve_Q9Y376_CAB39.pdf")</f>
        <v>Melting_Curves/meltCurve_Q9Y376_CAB39.pdf</v>
      </c>
    </row>
    <row r="1304" spans="1:28" x14ac:dyDescent="0.25">
      <c r="A1304" t="s">
        <v>1308</v>
      </c>
      <c r="B1304">
        <v>1</v>
      </c>
      <c r="C1304">
        <v>0.95334817913939296</v>
      </c>
      <c r="D1304">
        <v>1.1967744112288301</v>
      </c>
      <c r="E1304">
        <v>1.4869199451155</v>
      </c>
      <c r="F1304">
        <v>1.62174685651304</v>
      </c>
      <c r="G1304">
        <v>1.35650178824482</v>
      </c>
      <c r="H1304">
        <v>1.51769125222125</v>
      </c>
      <c r="I1304">
        <v>2.0762984456890901</v>
      </c>
      <c r="J1304">
        <v>1.5335492723305699</v>
      </c>
      <c r="K1304">
        <v>1.6150212564950399</v>
      </c>
      <c r="L1304">
        <v>11519.891279108801</v>
      </c>
      <c r="M1304">
        <v>250</v>
      </c>
      <c r="O1304">
        <v>46.076617166835902</v>
      </c>
      <c r="P1304">
        <v>0.67821820536305799</v>
      </c>
      <c r="Q1304">
        <v>1.5</v>
      </c>
      <c r="R1304">
        <v>0.60836626634356705</v>
      </c>
      <c r="S1304" t="s">
        <v>2630</v>
      </c>
      <c r="T1304" t="s">
        <v>2650</v>
      </c>
      <c r="U1304" t="s">
        <v>2650</v>
      </c>
      <c r="V1304" t="s">
        <v>2650</v>
      </c>
      <c r="W1304" t="s">
        <v>3953</v>
      </c>
      <c r="X1304">
        <v>3</v>
      </c>
      <c r="Y1304" t="s">
        <v>5262</v>
      </c>
      <c r="Z1304" t="s">
        <v>6584</v>
      </c>
      <c r="AA1304">
        <v>1.39863348026634</v>
      </c>
      <c r="AB1304" t="str">
        <f>HYPERLINK("Melting_Curves/meltCurve_Q9Y3B8_2_REXO2.pdf", "Melting_Curves/meltCurve_Q9Y3B8_2_REXO2.pdf")</f>
        <v>Melting_Curves/meltCurve_Q9Y3B8_2_REXO2.pdf</v>
      </c>
    </row>
    <row r="1305" spans="1:28" x14ac:dyDescent="0.25">
      <c r="A1305" t="s">
        <v>1309</v>
      </c>
      <c r="B1305">
        <v>1</v>
      </c>
      <c r="C1305">
        <v>0.84169462520546701</v>
      </c>
      <c r="D1305">
        <v>1.124946522258</v>
      </c>
      <c r="E1305">
        <v>1.3232082141811701</v>
      </c>
      <c r="F1305">
        <v>1.1151629100898399</v>
      </c>
      <c r="G1305">
        <v>1.1304631735380899</v>
      </c>
      <c r="H1305">
        <v>1.01677512328027</v>
      </c>
      <c r="I1305">
        <v>1.2770484789804299</v>
      </c>
      <c r="J1305">
        <v>0.86533741640584505</v>
      </c>
      <c r="K1305">
        <v>1.1534304564184501</v>
      </c>
      <c r="L1305">
        <v>11279.2413439786</v>
      </c>
      <c r="M1305">
        <v>250</v>
      </c>
      <c r="O1305">
        <v>45.114077944036701</v>
      </c>
      <c r="P1305">
        <v>0.17445319988638899</v>
      </c>
      <c r="Q1305">
        <v>1.12592472465347</v>
      </c>
      <c r="R1305">
        <v>0.24606132370224901</v>
      </c>
      <c r="S1305" t="s">
        <v>2631</v>
      </c>
      <c r="T1305" t="s">
        <v>2650</v>
      </c>
      <c r="U1305" t="s">
        <v>2650</v>
      </c>
      <c r="V1305" t="s">
        <v>2650</v>
      </c>
      <c r="W1305" t="s">
        <v>3954</v>
      </c>
      <c r="X1305">
        <v>7</v>
      </c>
      <c r="Y1305" t="s">
        <v>5263</v>
      </c>
      <c r="Z1305" t="s">
        <v>6585</v>
      </c>
      <c r="AA1305">
        <v>1.1044363387868821</v>
      </c>
      <c r="AB1305" t="str">
        <f>HYPERLINK("Melting_Curves/meltCurve_Q9Y490_TLN1.pdf", "Melting_Curves/meltCurve_Q9Y490_TLN1.pdf")</f>
        <v>Melting_Curves/meltCurve_Q9Y490_TLN1.pdf</v>
      </c>
    </row>
    <row r="1306" spans="1:28" x14ac:dyDescent="0.25">
      <c r="A1306" t="s">
        <v>1310</v>
      </c>
      <c r="B1306">
        <v>1</v>
      </c>
      <c r="C1306">
        <v>0.76552926760297901</v>
      </c>
      <c r="D1306">
        <v>1.0961290727998201</v>
      </c>
      <c r="E1306">
        <v>1.2512175197159601</v>
      </c>
      <c r="F1306">
        <v>0.99365318754516596</v>
      </c>
      <c r="G1306">
        <v>1.01170389920508</v>
      </c>
      <c r="H1306">
        <v>0.93219593426964498</v>
      </c>
      <c r="I1306">
        <v>1.1184057561190199</v>
      </c>
      <c r="J1306">
        <v>0.68363339303107395</v>
      </c>
      <c r="K1306">
        <v>0.930326452383197</v>
      </c>
      <c r="L1306">
        <v>15000</v>
      </c>
      <c r="M1306">
        <v>229.148580050004</v>
      </c>
      <c r="O1306">
        <v>65.454725854691901</v>
      </c>
      <c r="P1306">
        <v>-0.16880883024017301</v>
      </c>
      <c r="Q1306">
        <v>0.80712364562574801</v>
      </c>
      <c r="R1306">
        <v>0.28133238433943902</v>
      </c>
      <c r="S1306" t="s">
        <v>2632</v>
      </c>
      <c r="T1306" t="s">
        <v>2650</v>
      </c>
      <c r="U1306" t="s">
        <v>2650</v>
      </c>
      <c r="V1306" t="s">
        <v>2650</v>
      </c>
      <c r="W1306" t="s">
        <v>3955</v>
      </c>
      <c r="X1306">
        <v>14</v>
      </c>
      <c r="Y1306" t="s">
        <v>5264</v>
      </c>
      <c r="Z1306" t="s">
        <v>6586</v>
      </c>
      <c r="AA1306">
        <v>0.97083589933221137</v>
      </c>
      <c r="AB1306" t="str">
        <f>HYPERLINK("Melting_Curves/meltCurve_Q9Y4L1_HYOU1.pdf", "Melting_Curves/meltCurve_Q9Y4L1_HYOU1.pdf")</f>
        <v>Melting_Curves/meltCurve_Q9Y4L1_HYOU1.pdf</v>
      </c>
    </row>
    <row r="1307" spans="1:28" x14ac:dyDescent="0.25">
      <c r="A1307" t="s">
        <v>1311</v>
      </c>
      <c r="B1307">
        <v>1</v>
      </c>
      <c r="C1307">
        <v>0.69901321585903098</v>
      </c>
      <c r="D1307">
        <v>1.08625550660793</v>
      </c>
      <c r="E1307">
        <v>1.2647577092511</v>
      </c>
      <c r="F1307">
        <v>0.92740088105726903</v>
      </c>
      <c r="G1307">
        <v>0.935418502202643</v>
      </c>
      <c r="H1307">
        <v>0.844872246696035</v>
      </c>
      <c r="I1307">
        <v>1.0320704845815001</v>
      </c>
      <c r="J1307">
        <v>0.57814096916299595</v>
      </c>
      <c r="K1307">
        <v>0.83376211453744498</v>
      </c>
      <c r="L1307">
        <v>1207.46146661852</v>
      </c>
      <c r="M1307">
        <v>18.987478542172202</v>
      </c>
      <c r="O1307">
        <v>62.899731654982503</v>
      </c>
      <c r="P1307">
        <v>-2.2359723980220101E-2</v>
      </c>
      <c r="Q1307">
        <v>0.70372802686909197</v>
      </c>
      <c r="R1307">
        <v>0.23147831332592</v>
      </c>
      <c r="S1307" t="s">
        <v>2633</v>
      </c>
      <c r="T1307" t="s">
        <v>2650</v>
      </c>
      <c r="U1307" t="s">
        <v>2650</v>
      </c>
      <c r="V1307" t="s">
        <v>2650</v>
      </c>
      <c r="W1307" t="s">
        <v>3956</v>
      </c>
      <c r="X1307">
        <v>5</v>
      </c>
      <c r="Y1307" t="s">
        <v>5265</v>
      </c>
      <c r="Z1307" t="s">
        <v>6587</v>
      </c>
      <c r="AA1307">
        <v>0.93523138563398212</v>
      </c>
      <c r="AB1307" t="str">
        <f>HYPERLINK("Melting_Curves/meltCurve_Q9Y5K6_CD2AP.pdf", "Melting_Curves/meltCurve_Q9Y5K6_CD2AP.pdf")</f>
        <v>Melting_Curves/meltCurve_Q9Y5K6_CD2AP.pdf</v>
      </c>
    </row>
    <row r="1308" spans="1:28" x14ac:dyDescent="0.25">
      <c r="A1308" t="s">
        <v>1312</v>
      </c>
      <c r="B1308">
        <v>1</v>
      </c>
      <c r="C1308">
        <v>0.705510489510489</v>
      </c>
      <c r="D1308">
        <v>0.75432167832167796</v>
      </c>
      <c r="E1308">
        <v>1.0676923076923099</v>
      </c>
      <c r="F1308">
        <v>1.0020699300699301</v>
      </c>
      <c r="G1308">
        <v>0.96374825174825196</v>
      </c>
      <c r="H1308">
        <v>1.0617902097902101</v>
      </c>
      <c r="I1308">
        <v>1.0896783216783199</v>
      </c>
      <c r="J1308">
        <v>1.0859020979020999</v>
      </c>
      <c r="K1308">
        <v>1.1881398601398601</v>
      </c>
      <c r="L1308">
        <v>962.59599306256598</v>
      </c>
      <c r="M1308">
        <v>13.1695307549835</v>
      </c>
      <c r="Q1308">
        <v>1.5</v>
      </c>
      <c r="R1308">
        <v>0.24512418885133799</v>
      </c>
      <c r="S1308" t="s">
        <v>2634</v>
      </c>
      <c r="T1308" t="s">
        <v>2650</v>
      </c>
      <c r="U1308" t="s">
        <v>2650</v>
      </c>
      <c r="V1308" t="s">
        <v>2650</v>
      </c>
      <c r="W1308" t="s">
        <v>3957</v>
      </c>
      <c r="X1308">
        <v>1</v>
      </c>
      <c r="Y1308" t="s">
        <v>5266</v>
      </c>
      <c r="Z1308" t="s">
        <v>6588</v>
      </c>
      <c r="AA1308">
        <v>1.0326491138676299</v>
      </c>
      <c r="AB1308" t="str">
        <f>HYPERLINK("Melting_Curves/meltCurve_Q9Y5X3_SNX5.pdf", "Melting_Curves/meltCurve_Q9Y5X3_SNX5.pdf")</f>
        <v>Melting_Curves/meltCurve_Q9Y5X3_SNX5.pdf</v>
      </c>
    </row>
    <row r="1309" spans="1:28" x14ac:dyDescent="0.25">
      <c r="A1309" t="s">
        <v>1313</v>
      </c>
      <c r="B1309">
        <v>1</v>
      </c>
      <c r="C1309">
        <v>0.787774351532741</v>
      </c>
      <c r="D1309">
        <v>1.2005260293850899</v>
      </c>
      <c r="E1309">
        <v>1.45746417558498</v>
      </c>
      <c r="F1309">
        <v>1.0809903863595101</v>
      </c>
      <c r="G1309">
        <v>1.1296027571195399</v>
      </c>
      <c r="H1309">
        <v>1.10357337202975</v>
      </c>
      <c r="I1309">
        <v>1.4497551242517701</v>
      </c>
      <c r="J1309">
        <v>0.78935243968801005</v>
      </c>
      <c r="K1309">
        <v>1.2022492290948701</v>
      </c>
      <c r="L1309">
        <v>11148.4714932057</v>
      </c>
      <c r="M1309">
        <v>250</v>
      </c>
      <c r="O1309">
        <v>44.591032282342198</v>
      </c>
      <c r="P1309">
        <v>0.247663278294253</v>
      </c>
      <c r="Q1309">
        <v>1.1766969795050899</v>
      </c>
      <c r="R1309">
        <v>0.22344859305437001</v>
      </c>
      <c r="S1309" t="s">
        <v>2635</v>
      </c>
      <c r="T1309" t="s">
        <v>2650</v>
      </c>
      <c r="U1309" t="s">
        <v>2650</v>
      </c>
      <c r="V1309" t="s">
        <v>2650</v>
      </c>
      <c r="W1309" t="s">
        <v>3958</v>
      </c>
      <c r="X1309">
        <v>5</v>
      </c>
      <c r="Y1309" t="s">
        <v>5267</v>
      </c>
      <c r="Z1309" t="s">
        <v>6589</v>
      </c>
      <c r="AA1309">
        <v>1.149625625068073</v>
      </c>
      <c r="AB1309" t="str">
        <f>HYPERLINK("Melting_Curves/meltCurve_Q9Y5X9_LIPG.pdf", "Melting_Curves/meltCurve_Q9Y5X9_LIPG.pdf")</f>
        <v>Melting_Curves/meltCurve_Q9Y5X9_LIPG.pdf</v>
      </c>
    </row>
    <row r="1310" spans="1:28" x14ac:dyDescent="0.25">
      <c r="A1310" t="s">
        <v>1314</v>
      </c>
      <c r="B1310">
        <v>1</v>
      </c>
      <c r="C1310">
        <v>0.69026952228197602</v>
      </c>
      <c r="D1310">
        <v>0.86418530050004705</v>
      </c>
      <c r="E1310">
        <v>1.1711010472686101</v>
      </c>
      <c r="F1310">
        <v>1.0725854640374901</v>
      </c>
      <c r="G1310">
        <v>0.90330848822215903</v>
      </c>
      <c r="H1310">
        <v>0.955137277101613</v>
      </c>
      <c r="I1310">
        <v>1.06381105135705</v>
      </c>
      <c r="J1310">
        <v>0.59153379249614702</v>
      </c>
      <c r="K1310">
        <v>0.96277950750070795</v>
      </c>
      <c r="L1310">
        <v>8179.4497109527201</v>
      </c>
      <c r="M1310">
        <v>125.41205397680299</v>
      </c>
      <c r="O1310">
        <v>65.204002860007805</v>
      </c>
      <c r="P1310">
        <v>-0.105718702414939</v>
      </c>
      <c r="Q1310">
        <v>0.78013965046958</v>
      </c>
      <c r="R1310">
        <v>0.14680449694426501</v>
      </c>
      <c r="S1310" t="s">
        <v>2636</v>
      </c>
      <c r="T1310" t="s">
        <v>2650</v>
      </c>
      <c r="U1310" t="s">
        <v>2650</v>
      </c>
      <c r="V1310" t="s">
        <v>2650</v>
      </c>
      <c r="W1310" t="s">
        <v>3959</v>
      </c>
      <c r="X1310">
        <v>1</v>
      </c>
      <c r="Y1310" t="s">
        <v>5268</v>
      </c>
      <c r="Z1310" t="s">
        <v>6590</v>
      </c>
      <c r="AA1310">
        <v>0.96507254634933282</v>
      </c>
      <c r="AB1310" t="str">
        <f>HYPERLINK("Melting_Curves/meltCurve_Q9Y5Y6_ST14.pdf", "Melting_Curves/meltCurve_Q9Y5Y6_ST14.pdf")</f>
        <v>Melting_Curves/meltCurve_Q9Y5Y6_ST14.pdf</v>
      </c>
    </row>
    <row r="1311" spans="1:28" x14ac:dyDescent="0.25">
      <c r="A1311" t="s">
        <v>1315</v>
      </c>
      <c r="B1311">
        <v>1</v>
      </c>
      <c r="C1311">
        <v>0.77763940520446095</v>
      </c>
      <c r="D1311">
        <v>1.13364312267658</v>
      </c>
      <c r="E1311">
        <v>1.2875464684014899</v>
      </c>
      <c r="F1311">
        <v>1.0578066914498101</v>
      </c>
      <c r="G1311">
        <v>1.03903345724907</v>
      </c>
      <c r="H1311">
        <v>0.99879182156133794</v>
      </c>
      <c r="I1311">
        <v>1.09767657992565</v>
      </c>
      <c r="J1311">
        <v>0.79763011152416396</v>
      </c>
      <c r="K1311">
        <v>1.07732342007435</v>
      </c>
      <c r="L1311">
        <v>11124.3393489063</v>
      </c>
      <c r="M1311">
        <v>250</v>
      </c>
      <c r="O1311">
        <v>44.494509959633596</v>
      </c>
      <c r="P1311">
        <v>8.5935517958862603E-2</v>
      </c>
      <c r="Q1311">
        <v>1.0611785399464699</v>
      </c>
      <c r="R1311">
        <v>0.111691043957638</v>
      </c>
      <c r="S1311" t="s">
        <v>2637</v>
      </c>
      <c r="T1311" t="s">
        <v>2650</v>
      </c>
      <c r="U1311" t="s">
        <v>2650</v>
      </c>
      <c r="V1311" t="s">
        <v>2650</v>
      </c>
      <c r="W1311" t="s">
        <v>3960</v>
      </c>
      <c r="X1311">
        <v>5</v>
      </c>
      <c r="Y1311" t="s">
        <v>5269</v>
      </c>
      <c r="Z1311" t="s">
        <v>6591</v>
      </c>
      <c r="AA1311">
        <v>1.0520023704121531</v>
      </c>
      <c r="AB1311" t="str">
        <f>HYPERLINK("Melting_Curves/meltCurve_Q9Y5Z4_2_HEBP2.pdf", "Melting_Curves/meltCurve_Q9Y5Z4_2_HEBP2.pdf")</f>
        <v>Melting_Curves/meltCurve_Q9Y5Z4_2_HEBP2.pdf</v>
      </c>
    </row>
    <row r="1312" spans="1:28" x14ac:dyDescent="0.25">
      <c r="A1312" t="s">
        <v>1316</v>
      </c>
      <c r="B1312">
        <v>1</v>
      </c>
      <c r="C1312">
        <v>0.648593257198811</v>
      </c>
      <c r="D1312">
        <v>1.05925284935157</v>
      </c>
      <c r="E1312">
        <v>1.2861648468011</v>
      </c>
      <c r="F1312">
        <v>0.90987964976601698</v>
      </c>
      <c r="G1312">
        <v>0.81489746888769998</v>
      </c>
      <c r="H1312">
        <v>0.81837020506222502</v>
      </c>
      <c r="I1312">
        <v>1.07091213408177</v>
      </c>
      <c r="J1312">
        <v>0.52194655402097301</v>
      </c>
      <c r="K1312">
        <v>0.86386874195862295</v>
      </c>
      <c r="L1312">
        <v>13251.0256783519</v>
      </c>
      <c r="M1312">
        <v>250</v>
      </c>
      <c r="O1312">
        <v>53.000710687282499</v>
      </c>
      <c r="P1312">
        <v>-0.21462094129253001</v>
      </c>
      <c r="Q1312">
        <v>0.81799900114795698</v>
      </c>
      <c r="R1312">
        <v>0.166655295546666</v>
      </c>
      <c r="S1312" t="s">
        <v>2638</v>
      </c>
      <c r="T1312" t="s">
        <v>2650</v>
      </c>
      <c r="U1312" t="s">
        <v>2650</v>
      </c>
      <c r="V1312" t="s">
        <v>2650</v>
      </c>
      <c r="W1312" t="s">
        <v>3961</v>
      </c>
      <c r="X1312">
        <v>1</v>
      </c>
      <c r="Y1312" t="s">
        <v>5270</v>
      </c>
      <c r="Z1312" t="s">
        <v>6592</v>
      </c>
      <c r="AA1312">
        <v>0.89690792056500757</v>
      </c>
      <c r="AB1312" t="str">
        <f>HYPERLINK("Melting_Curves/meltCurve_Q9Y608_2_LRRFIP2.pdf", "Melting_Curves/meltCurve_Q9Y608_2_LRRFIP2.pdf")</f>
        <v>Melting_Curves/meltCurve_Q9Y608_2_LRRFIP2.pdf</v>
      </c>
    </row>
    <row r="1313" spans="1:28" x14ac:dyDescent="0.25">
      <c r="A1313" t="s">
        <v>1317</v>
      </c>
      <c r="B1313">
        <v>1</v>
      </c>
      <c r="C1313">
        <v>0.88972600954143699</v>
      </c>
      <c r="D1313">
        <v>1.43191949738002</v>
      </c>
      <c r="E1313">
        <v>1.6076800750801601</v>
      </c>
      <c r="F1313">
        <v>1.36260069344873</v>
      </c>
      <c r="G1313">
        <v>1.4199535962876999</v>
      </c>
      <c r="H1313">
        <v>1.4339529184806701</v>
      </c>
      <c r="I1313">
        <v>1.64164863526161</v>
      </c>
      <c r="J1313">
        <v>1.0336817956672499</v>
      </c>
      <c r="K1313">
        <v>1.3566047081519299</v>
      </c>
      <c r="L1313">
        <v>11137.302591617099</v>
      </c>
      <c r="M1313">
        <v>250</v>
      </c>
      <c r="O1313">
        <v>44.546359632874598</v>
      </c>
      <c r="P1313">
        <v>0.57667824161418701</v>
      </c>
      <c r="Q1313">
        <v>1.41102265990192</v>
      </c>
      <c r="R1313">
        <v>0.57470422631675999</v>
      </c>
      <c r="S1313" t="s">
        <v>2639</v>
      </c>
      <c r="T1313" t="s">
        <v>2650</v>
      </c>
      <c r="U1313" t="s">
        <v>2650</v>
      </c>
      <c r="V1313" t="s">
        <v>2650</v>
      </c>
      <c r="W1313" t="s">
        <v>3962</v>
      </c>
      <c r="X1313">
        <v>3</v>
      </c>
      <c r="Y1313" t="s">
        <v>5271</v>
      </c>
      <c r="Z1313" t="s">
        <v>6593</v>
      </c>
      <c r="AA1313">
        <v>1.3486629066711009</v>
      </c>
      <c r="AB1313" t="str">
        <f>HYPERLINK("Melting_Curves/meltCurve_Q9Y624_F11R.pdf", "Melting_Curves/meltCurve_Q9Y624_F11R.pdf")</f>
        <v>Melting_Curves/meltCurve_Q9Y624_F11R.pdf</v>
      </c>
    </row>
    <row r="1314" spans="1:28" x14ac:dyDescent="0.25">
      <c r="A1314" t="s">
        <v>1318</v>
      </c>
      <c r="B1314">
        <v>1</v>
      </c>
      <c r="C1314">
        <v>0.88919530476594499</v>
      </c>
      <c r="D1314">
        <v>1.2679253288078101</v>
      </c>
      <c r="E1314">
        <v>1.557134775845</v>
      </c>
      <c r="F1314">
        <v>1.3092207608541899</v>
      </c>
      <c r="G1314">
        <v>1.46153302220337</v>
      </c>
      <c r="H1314">
        <v>1.33432329232075</v>
      </c>
      <c r="I1314">
        <v>1.7090227690567099</v>
      </c>
      <c r="J1314">
        <v>1.1472917550558599</v>
      </c>
      <c r="K1314">
        <v>1.5869749681798899</v>
      </c>
      <c r="L1314">
        <v>11480.5958489923</v>
      </c>
      <c r="M1314">
        <v>250</v>
      </c>
      <c r="O1314">
        <v>45.919445321289302</v>
      </c>
      <c r="P1314">
        <v>0.60383331805380003</v>
      </c>
      <c r="Q1314">
        <v>1.4436430496746899</v>
      </c>
      <c r="R1314">
        <v>0.62170609137258503</v>
      </c>
      <c r="S1314" t="s">
        <v>2640</v>
      </c>
      <c r="T1314" t="s">
        <v>2650</v>
      </c>
      <c r="U1314" t="s">
        <v>2650</v>
      </c>
      <c r="V1314" t="s">
        <v>2650</v>
      </c>
      <c r="W1314" t="s">
        <v>3963</v>
      </c>
      <c r="X1314">
        <v>7</v>
      </c>
      <c r="Y1314" t="s">
        <v>5272</v>
      </c>
      <c r="Z1314" t="s">
        <v>6594</v>
      </c>
      <c r="AA1314">
        <v>1.356026487415793</v>
      </c>
      <c r="AB1314" t="str">
        <f>HYPERLINK("Melting_Curves/meltCurve_Q9Y646_CPQ.pdf", "Melting_Curves/meltCurve_Q9Y646_CPQ.pdf")</f>
        <v>Melting_Curves/meltCurve_Q9Y646_CPQ.pdf</v>
      </c>
    </row>
    <row r="1315" spans="1:28" x14ac:dyDescent="0.25">
      <c r="A1315" t="s">
        <v>1319</v>
      </c>
      <c r="B1315">
        <v>1</v>
      </c>
      <c r="C1315">
        <v>0.75936938734783499</v>
      </c>
      <c r="D1315">
        <v>1.2024745559768499</v>
      </c>
      <c r="E1315">
        <v>1.52672121333067</v>
      </c>
      <c r="F1315">
        <v>1.1659149870285399</v>
      </c>
      <c r="G1315">
        <v>1.18297744961086</v>
      </c>
      <c r="H1315">
        <v>1.1052284973059301</v>
      </c>
      <c r="I1315">
        <v>1.41357014567951</v>
      </c>
      <c r="J1315">
        <v>0.78976252245060896</v>
      </c>
      <c r="K1315">
        <v>1.11550588704849</v>
      </c>
      <c r="L1315">
        <v>11162.415710199401</v>
      </c>
      <c r="M1315">
        <v>250</v>
      </c>
      <c r="O1315">
        <v>44.646810420329402</v>
      </c>
      <c r="P1315">
        <v>0.26287200656933501</v>
      </c>
      <c r="Q1315">
        <v>1.1877823256398801</v>
      </c>
      <c r="R1315">
        <v>0.23734027068125299</v>
      </c>
      <c r="S1315" t="s">
        <v>2641</v>
      </c>
      <c r="T1315" t="s">
        <v>2650</v>
      </c>
      <c r="U1315" t="s">
        <v>2650</v>
      </c>
      <c r="V1315" t="s">
        <v>2650</v>
      </c>
      <c r="W1315" t="s">
        <v>3964</v>
      </c>
      <c r="X1315">
        <v>4</v>
      </c>
      <c r="Y1315" t="s">
        <v>5273</v>
      </c>
      <c r="Z1315" t="s">
        <v>6595</v>
      </c>
      <c r="AA1315">
        <v>1.1586634610613999</v>
      </c>
      <c r="AB1315" t="str">
        <f>HYPERLINK("Melting_Curves/meltCurve_Q9Y653_2_ADGRG1.pdf", "Melting_Curves/meltCurve_Q9Y653_2_ADGRG1.pdf")</f>
        <v>Melting_Curves/meltCurve_Q9Y653_2_ADGRG1.pdf</v>
      </c>
    </row>
    <row r="1316" spans="1:28" x14ac:dyDescent="0.25">
      <c r="A1316" t="s">
        <v>1320</v>
      </c>
      <c r="B1316">
        <v>1</v>
      </c>
      <c r="C1316">
        <v>0.85132389194318703</v>
      </c>
      <c r="D1316">
        <v>1.43446554373949</v>
      </c>
      <c r="E1316">
        <v>1.6164168789776101</v>
      </c>
      <c r="F1316">
        <v>1.15534971995585</v>
      </c>
      <c r="G1316">
        <v>1.4054812324005399</v>
      </c>
      <c r="H1316">
        <v>1.2931541325851701</v>
      </c>
      <c r="I1316">
        <v>1.6816057927363901</v>
      </c>
      <c r="J1316">
        <v>0.97997916430288101</v>
      </c>
      <c r="K1316">
        <v>1.3554549299116001</v>
      </c>
      <c r="L1316">
        <v>11117.3546930349</v>
      </c>
      <c r="M1316">
        <v>250</v>
      </c>
      <c r="O1316">
        <v>44.466549513650797</v>
      </c>
      <c r="P1316">
        <v>0.51337083000073402</v>
      </c>
      <c r="Q1316">
        <v>1.36524546518099</v>
      </c>
      <c r="R1316">
        <v>0.43353369024795602</v>
      </c>
      <c r="S1316" t="s">
        <v>2642</v>
      </c>
      <c r="T1316" t="s">
        <v>2650</v>
      </c>
      <c r="U1316" t="s">
        <v>2650</v>
      </c>
      <c r="V1316" t="s">
        <v>2650</v>
      </c>
      <c r="W1316" t="s">
        <v>3965</v>
      </c>
      <c r="X1316">
        <v>1</v>
      </c>
      <c r="Y1316" t="s">
        <v>5274</v>
      </c>
      <c r="Z1316" t="s">
        <v>6596</v>
      </c>
      <c r="AA1316">
        <v>1.310802462328176</v>
      </c>
      <c r="AB1316" t="str">
        <f>HYPERLINK("Melting_Curves/meltCurve_Q9Y696_CLIC4.pdf", "Melting_Curves/meltCurve_Q9Y696_CLIC4.pdf")</f>
        <v>Melting_Curves/meltCurve_Q9Y696_CLIC4.pdf</v>
      </c>
    </row>
    <row r="1317" spans="1:28" x14ac:dyDescent="0.25">
      <c r="A1317" t="s">
        <v>1321</v>
      </c>
      <c r="B1317">
        <v>1</v>
      </c>
      <c r="C1317">
        <v>0.79387794891791796</v>
      </c>
      <c r="D1317">
        <v>1.02105673620589</v>
      </c>
      <c r="E1317">
        <v>1.15983622538507</v>
      </c>
      <c r="F1317">
        <v>0.96188340807174899</v>
      </c>
      <c r="G1317">
        <v>0.897952817313317</v>
      </c>
      <c r="H1317">
        <v>0.85683369077792904</v>
      </c>
      <c r="I1317">
        <v>0.90551764476506102</v>
      </c>
      <c r="J1317">
        <v>0.48007408851627997</v>
      </c>
      <c r="K1317">
        <v>0.61567557028660602</v>
      </c>
      <c r="L1317">
        <v>15000</v>
      </c>
      <c r="M1317">
        <v>233.04443966888701</v>
      </c>
      <c r="O1317">
        <v>64.360673415904301</v>
      </c>
      <c r="P1317">
        <v>-0.409290707870611</v>
      </c>
      <c r="Q1317">
        <v>0.54785923974124695</v>
      </c>
      <c r="R1317">
        <v>0.69167241452744399</v>
      </c>
      <c r="S1317" t="s">
        <v>2643</v>
      </c>
      <c r="T1317" t="s">
        <v>2650</v>
      </c>
      <c r="U1317" t="s">
        <v>2650</v>
      </c>
      <c r="V1317" t="s">
        <v>2650</v>
      </c>
      <c r="W1317" t="s">
        <v>3966</v>
      </c>
      <c r="X1317">
        <v>1</v>
      </c>
      <c r="Y1317" t="s">
        <v>5275</v>
      </c>
      <c r="Z1317" t="s">
        <v>6597</v>
      </c>
      <c r="AA1317">
        <v>0.9151377926206159</v>
      </c>
      <c r="AB1317" t="str">
        <f>HYPERLINK("Melting_Curves/meltCurve_Q9Y6G9_DYNC1LI1.pdf", "Melting_Curves/meltCurve_Q9Y6G9_DYNC1LI1.pdf")</f>
        <v>Melting_Curves/meltCurve_Q9Y6G9_DYNC1LI1.pdf</v>
      </c>
    </row>
    <row r="1318" spans="1:28" x14ac:dyDescent="0.25">
      <c r="A1318" t="s">
        <v>1322</v>
      </c>
      <c r="B1318">
        <v>1</v>
      </c>
      <c r="C1318">
        <v>0.837642038406193</v>
      </c>
      <c r="D1318">
        <v>1.0698655287054</v>
      </c>
      <c r="E1318">
        <v>1.3531484146281001</v>
      </c>
      <c r="F1318">
        <v>1.23520071453382</v>
      </c>
      <c r="G1318">
        <v>0.99469061678162096</v>
      </c>
      <c r="H1318">
        <v>0.96739939463107205</v>
      </c>
      <c r="I1318">
        <v>1.06073537438595</v>
      </c>
      <c r="J1318">
        <v>0.490547313055128</v>
      </c>
      <c r="K1318">
        <v>0.861559073090855</v>
      </c>
      <c r="L1318">
        <v>8557.4220584803697</v>
      </c>
      <c r="M1318">
        <v>131.16903642245501</v>
      </c>
      <c r="O1318">
        <v>65.224500145704596</v>
      </c>
      <c r="P1318">
        <v>-0.162309359434545</v>
      </c>
      <c r="Q1318">
        <v>0.67716329723885405</v>
      </c>
      <c r="R1318">
        <v>0.40760718811494401</v>
      </c>
      <c r="S1318" t="s">
        <v>2644</v>
      </c>
      <c r="T1318" t="s">
        <v>2650</v>
      </c>
      <c r="U1318" t="s">
        <v>2650</v>
      </c>
      <c r="V1318" t="s">
        <v>2650</v>
      </c>
      <c r="W1318" t="s">
        <v>3967</v>
      </c>
      <c r="X1318">
        <v>1</v>
      </c>
      <c r="Y1318" t="s">
        <v>5276</v>
      </c>
      <c r="Z1318" t="s">
        <v>6598</v>
      </c>
      <c r="AA1318">
        <v>0.94890632545397524</v>
      </c>
      <c r="AB1318" t="str">
        <f>HYPERLINK("Melting_Curves/meltCurve_Q9Y6I3_3_EPN1.pdf", "Melting_Curves/meltCurve_Q9Y6I3_3_EPN1.pdf")</f>
        <v>Melting_Curves/meltCurve_Q9Y6I3_3_EPN1.pdf</v>
      </c>
    </row>
    <row r="1319" spans="1:28" x14ac:dyDescent="0.25">
      <c r="A1319" t="s">
        <v>1323</v>
      </c>
      <c r="B1319">
        <v>1</v>
      </c>
      <c r="C1319">
        <v>0.873586765145559</v>
      </c>
      <c r="D1319">
        <v>1.18883364523237</v>
      </c>
      <c r="E1319">
        <v>1.35615179332721</v>
      </c>
      <c r="F1319">
        <v>1.0367745578969501</v>
      </c>
      <c r="G1319">
        <v>0.94218609853056801</v>
      </c>
      <c r="H1319">
        <v>1.0245385186087499</v>
      </c>
      <c r="I1319">
        <v>1.2348987343173801</v>
      </c>
      <c r="J1319">
        <v>0.72415205908733504</v>
      </c>
      <c r="K1319">
        <v>1.0763728171681</v>
      </c>
      <c r="L1319">
        <v>11102.035576613</v>
      </c>
      <c r="M1319">
        <v>250</v>
      </c>
      <c r="O1319">
        <v>44.405279024031799</v>
      </c>
      <c r="P1319">
        <v>0.102725887089774</v>
      </c>
      <c r="Q1319">
        <v>1.0729851823135099</v>
      </c>
      <c r="R1319">
        <v>7.2287202385464697E-2</v>
      </c>
      <c r="S1319" t="s">
        <v>2645</v>
      </c>
      <c r="T1319" t="s">
        <v>2650</v>
      </c>
      <c r="U1319" t="s">
        <v>2650</v>
      </c>
      <c r="V1319" t="s">
        <v>2650</v>
      </c>
      <c r="W1319" t="s">
        <v>3968</v>
      </c>
      <c r="X1319">
        <v>1</v>
      </c>
      <c r="Y1319" t="s">
        <v>5277</v>
      </c>
      <c r="Z1319" t="s">
        <v>6599</v>
      </c>
      <c r="AA1319">
        <v>1.062255191839627</v>
      </c>
      <c r="AB1319" t="str">
        <f>HYPERLINK("Melting_Curves/meltCurve_Q9Y6K9_3_IKBKG.pdf", "Melting_Curves/meltCurve_Q9Y6K9_3_IKBKG.pdf")</f>
        <v>Melting_Curves/meltCurve_Q9Y6K9_3_IKBKG.pdf</v>
      </c>
    </row>
    <row r="1320" spans="1:28" x14ac:dyDescent="0.25">
      <c r="A1320" t="s">
        <v>1324</v>
      </c>
      <c r="B1320">
        <v>1</v>
      </c>
      <c r="C1320">
        <v>0.78216885936901304</v>
      </c>
      <c r="D1320">
        <v>1.1010857069868401</v>
      </c>
      <c r="E1320">
        <v>1.4001021841870001</v>
      </c>
      <c r="F1320">
        <v>1.1818623068080201</v>
      </c>
      <c r="G1320">
        <v>1.3058883637757099</v>
      </c>
      <c r="H1320">
        <v>1.4236811853365701</v>
      </c>
      <c r="I1320">
        <v>2.1836760761272198</v>
      </c>
      <c r="J1320">
        <v>1.4903308213054001</v>
      </c>
      <c r="K1320">
        <v>2.1832673393792299</v>
      </c>
      <c r="L1320">
        <v>986.15622670915002</v>
      </c>
      <c r="M1320">
        <v>19.604917006673801</v>
      </c>
      <c r="O1320">
        <v>49.786884182348501</v>
      </c>
      <c r="P1320">
        <v>4.9223826661490097E-2</v>
      </c>
      <c r="Q1320">
        <v>1.5</v>
      </c>
      <c r="R1320">
        <v>0.433456700872205</v>
      </c>
      <c r="S1320" t="s">
        <v>2646</v>
      </c>
      <c r="T1320" t="s">
        <v>2650</v>
      </c>
      <c r="U1320" t="s">
        <v>2650</v>
      </c>
      <c r="V1320" t="s">
        <v>2650</v>
      </c>
      <c r="W1320" t="s">
        <v>3969</v>
      </c>
      <c r="X1320">
        <v>4</v>
      </c>
      <c r="Y1320" t="s">
        <v>5278</v>
      </c>
      <c r="Z1320" t="s">
        <v>6600</v>
      </c>
      <c r="AA1320">
        <v>1.321083438791254</v>
      </c>
      <c r="AB1320" t="str">
        <f>HYPERLINK("Melting_Curves/meltCurve_Q9Y6R7_FCGBP.pdf", "Melting_Curves/meltCurve_Q9Y6R7_FCGBP.pdf")</f>
        <v>Melting_Curves/meltCurve_Q9Y6R7_FCGBP.pdf</v>
      </c>
    </row>
    <row r="1321" spans="1:28" x14ac:dyDescent="0.25">
      <c r="A1321" t="s">
        <v>1325</v>
      </c>
      <c r="B1321">
        <v>1</v>
      </c>
      <c r="C1321">
        <v>0.72743358260038504</v>
      </c>
      <c r="D1321">
        <v>1.18445761814354</v>
      </c>
      <c r="E1321">
        <v>1.5851059707853801</v>
      </c>
      <c r="F1321">
        <v>1.3704521678484201</v>
      </c>
      <c r="G1321">
        <v>1.52220801529182</v>
      </c>
      <c r="H1321">
        <v>1.46667183282318</v>
      </c>
      <c r="I1321">
        <v>1.6468415410644901</v>
      </c>
      <c r="J1321">
        <v>1.3084582897438899</v>
      </c>
      <c r="K1321">
        <v>1.70147364614411</v>
      </c>
      <c r="L1321">
        <v>11524.696174459201</v>
      </c>
      <c r="M1321">
        <v>250</v>
      </c>
      <c r="O1321">
        <v>46.095833023870703</v>
      </c>
      <c r="P1321">
        <v>0.67793544149906404</v>
      </c>
      <c r="Q1321">
        <v>1.5</v>
      </c>
      <c r="R1321">
        <v>0.76610766290332299</v>
      </c>
      <c r="S1321" t="s">
        <v>2647</v>
      </c>
      <c r="T1321" t="s">
        <v>2650</v>
      </c>
      <c r="U1321" t="s">
        <v>2650</v>
      </c>
      <c r="V1321" t="s">
        <v>2650</v>
      </c>
      <c r="W1321" t="s">
        <v>3970</v>
      </c>
      <c r="X1321">
        <v>1</v>
      </c>
      <c r="Y1321" t="s">
        <v>5279</v>
      </c>
      <c r="Z1321" t="s">
        <v>6601</v>
      </c>
      <c r="AA1321">
        <v>1.3983131370445421</v>
      </c>
      <c r="AB1321" t="str">
        <f>HYPERLINK("Melting_Curves/meltCurve_Q9Y6U3_3_SCIN.pdf", "Melting_Curves/meltCurve_Q9Y6U3_3_SCIN.pdf")</f>
        <v>Melting_Curves/meltCurve_Q9Y6U3_3_SCIN.pdf</v>
      </c>
    </row>
    <row r="1322" spans="1:28" x14ac:dyDescent="0.25">
      <c r="A1322" t="s">
        <v>1326</v>
      </c>
      <c r="B1322">
        <v>1</v>
      </c>
      <c r="C1322">
        <v>0.80097692787362296</v>
      </c>
      <c r="D1322">
        <v>1.0154333818332999</v>
      </c>
      <c r="E1322">
        <v>1.0026501766784499</v>
      </c>
      <c r="F1322">
        <v>0.91924755768031596</v>
      </c>
      <c r="G1322">
        <v>0.903554354604032</v>
      </c>
      <c r="H1322">
        <v>0.923248804822282</v>
      </c>
      <c r="I1322">
        <v>0.93462897526501798</v>
      </c>
      <c r="J1322">
        <v>0.69346289752650203</v>
      </c>
      <c r="K1322">
        <v>0.83917065059239204</v>
      </c>
      <c r="L1322">
        <v>264.37244950541901</v>
      </c>
      <c r="M1322">
        <v>2.3565800137464201</v>
      </c>
      <c r="Q1322">
        <v>0</v>
      </c>
      <c r="R1322">
        <v>0.291115877634741</v>
      </c>
      <c r="S1322" t="s">
        <v>2648</v>
      </c>
      <c r="T1322" t="s">
        <v>2650</v>
      </c>
      <c r="U1322" t="s">
        <v>2650</v>
      </c>
      <c r="V1322" t="s">
        <v>2650</v>
      </c>
      <c r="W1322" t="s">
        <v>3971</v>
      </c>
      <c r="X1322">
        <v>1</v>
      </c>
      <c r="Y1322" t="s">
        <v>5280</v>
      </c>
      <c r="Z1322" t="s">
        <v>6602</v>
      </c>
      <c r="AA1322">
        <v>0.91203559924500321</v>
      </c>
      <c r="AB1322" t="str">
        <f>HYPERLINK("Melting_Curves/meltCurve_Q9Y6W5_WASF2.pdf", "Melting_Curves/meltCurve_Q9Y6W5_WASF2.pdf")</f>
        <v>Melting_Curves/meltCurve_Q9Y6W5_WASF2.pdf</v>
      </c>
    </row>
    <row r="1323" spans="1:28" x14ac:dyDescent="0.25">
      <c r="A1323" t="s">
        <v>1327</v>
      </c>
      <c r="B1323">
        <v>1</v>
      </c>
      <c r="C1323">
        <v>0.87791988971432899</v>
      </c>
      <c r="D1323">
        <v>1.3099486865283001</v>
      </c>
      <c r="E1323">
        <v>1.8212453090296401</v>
      </c>
      <c r="F1323">
        <v>1.4109672972352001</v>
      </c>
      <c r="G1323">
        <v>1.63636363636364</v>
      </c>
      <c r="H1323">
        <v>1.51252201884047</v>
      </c>
      <c r="I1323">
        <v>2.3338439151413</v>
      </c>
      <c r="J1323">
        <v>1.56222715784637</v>
      </c>
      <c r="K1323">
        <v>1.9265528069234901</v>
      </c>
      <c r="L1323">
        <v>11477.5008226512</v>
      </c>
      <c r="M1323">
        <v>250</v>
      </c>
      <c r="O1323">
        <v>45.907065787838697</v>
      </c>
      <c r="P1323">
        <v>0.68072310427584704</v>
      </c>
      <c r="Q1323">
        <v>1.5</v>
      </c>
      <c r="R1323">
        <v>0.38523502588423397</v>
      </c>
      <c r="S1323" t="s">
        <v>2649</v>
      </c>
      <c r="T1323" t="s">
        <v>2650</v>
      </c>
      <c r="U1323" t="s">
        <v>2650</v>
      </c>
      <c r="V1323" t="s">
        <v>2650</v>
      </c>
      <c r="W1323" t="s">
        <v>3972</v>
      </c>
      <c r="X1323">
        <v>1</v>
      </c>
      <c r="Y1323" t="s">
        <v>5281</v>
      </c>
      <c r="Z1323" t="s">
        <v>6603</v>
      </c>
      <c r="AA1323">
        <v>1.4014596594859601</v>
      </c>
      <c r="AB1323" t="str">
        <f>HYPERLINK("Melting_Curves/meltCurve_Q9Y6X5_ENPP4.pdf", "Melting_Curves/meltCurve_Q9Y6X5_ENPP4.pdf")</f>
        <v>Melting_Curves/meltCurve_Q9Y6X5_ENPP4.pdf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Jarzab</cp:lastModifiedBy>
  <dcterms:created xsi:type="dcterms:W3CDTF">2017-10-13T08:00:10Z</dcterms:created>
  <dcterms:modified xsi:type="dcterms:W3CDTF">2018-08-08T08:16:30Z</dcterms:modified>
</cp:coreProperties>
</file>